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3575" yWindow="2340" windowWidth="19005" windowHeight="9420" firstSheet="1" activeTab="1"/>
  </bookViews>
  <sheets>
    <sheet name="Стройка+Неинвест. (коротко)" sheetId="1" state="hidden" r:id="rId1"/>
    <sheet name="СМИ" sheetId="2" r:id="rId2"/>
  </sheets>
  <definedNames>
    <definedName name="_xlnm.Print_Titles" localSheetId="0">'Стройка+Неинвест. (коротко)'!$3:$5</definedName>
    <definedName name="_xlnm.Print_Area" localSheetId="1">'СМИ'!$A$1:$J$1804</definedName>
    <definedName name="_xlnm.Print_Area" localSheetId="0">'Стройка+Неинвест. (коротко)'!$A$1:$K$80</definedName>
  </definedNames>
  <calcPr fullCalcOnLoad="1"/>
</workbook>
</file>

<file path=xl/sharedStrings.xml><?xml version="1.0" encoding="utf-8"?>
<sst xmlns="http://schemas.openxmlformats.org/spreadsheetml/2006/main" count="3164" uniqueCount="884">
  <si>
    <t>4</t>
  </si>
  <si>
    <t>2.1</t>
  </si>
  <si>
    <t>1</t>
  </si>
  <si>
    <t>1.1</t>
  </si>
  <si>
    <t>5</t>
  </si>
  <si>
    <t>Субсидии местным бюджетам на строительство, реконструкцию автомобильных дорог общего пользования местного значения</t>
  </si>
  <si>
    <t>№                     п/п</t>
  </si>
  <si>
    <t>1.5.1</t>
  </si>
  <si>
    <t>1.5.2</t>
  </si>
  <si>
    <t>ИТОГО по Минстрою</t>
  </si>
  <si>
    <t>ВСЕГО ДФ</t>
  </si>
  <si>
    <t>(рублей)</t>
  </si>
  <si>
    <t xml:space="preserve"> 1.2</t>
  </si>
  <si>
    <t>1.4.3</t>
  </si>
  <si>
    <t>1.4.4</t>
  </si>
  <si>
    <t>1.6</t>
  </si>
  <si>
    <t>1.7</t>
  </si>
  <si>
    <t>Проблемные вопросы</t>
  </si>
  <si>
    <t>МБ</t>
  </si>
  <si>
    <t>Нет соглашения с ФДА на объемы 2015 года, отсутствие соглашения с г. Омском на остатки</t>
  </si>
  <si>
    <t>Нет соглашения с г. Омском на остатки</t>
  </si>
  <si>
    <t>%                               выполне-ния</t>
  </si>
  <si>
    <t xml:space="preserve">Хронология освоения средств  </t>
  </si>
  <si>
    <t>Содержание автомобильных дорог</t>
  </si>
  <si>
    <t>1.4.5</t>
  </si>
  <si>
    <t>1.4.6</t>
  </si>
  <si>
    <t>1.4.7</t>
  </si>
  <si>
    <t>8</t>
  </si>
  <si>
    <t>8.2</t>
  </si>
  <si>
    <t>Наименование</t>
  </si>
  <si>
    <t>Общая сумма потребности</t>
  </si>
  <si>
    <t>Аппарат (Минстрой)</t>
  </si>
  <si>
    <t>Оказание государственных услуг (исполнение государственных функций) за счет собственных средств областного бюджета</t>
  </si>
  <si>
    <t>Непрограммные расходы</t>
  </si>
  <si>
    <t>ВСЕГО</t>
  </si>
  <si>
    <t>Предельный объем</t>
  </si>
  <si>
    <t>Заработная плата</t>
  </si>
  <si>
    <t>Начисления на выплаты по оплате труда</t>
  </si>
  <si>
    <t>Изменения</t>
  </si>
  <si>
    <t>Остальные расходы</t>
  </si>
  <si>
    <t>Неинвестиционные расходы</t>
  </si>
  <si>
    <t>Коммунальные услуги</t>
  </si>
  <si>
    <t>Объем бюджетных ассигнований, рублей</t>
  </si>
  <si>
    <t>Инвестиционные расходы (стройка)</t>
  </si>
  <si>
    <t>Потребность Минстроя Омской области на 2014-2016 годы</t>
  </si>
  <si>
    <t>Текущий финансовый год (2013)</t>
  </si>
  <si>
    <t>Очередной финансовый год (2014)</t>
  </si>
  <si>
    <t>Первый год планового периода (2015)</t>
  </si>
  <si>
    <t>Второй год планового периода (2016)</t>
  </si>
  <si>
    <t>БУ ОО "Агенство жилищного строительства Омской области", в том числе:</t>
  </si>
  <si>
    <t>КУ ОО "Омскоблстройзаказчик", в том числе:</t>
  </si>
  <si>
    <t>КУ ОО "Управление дорожного хозяйства Омской области", в том числе:</t>
  </si>
  <si>
    <t>ГП "Доступная среда"</t>
  </si>
  <si>
    <t>ГП "Создание условий для обеспечения граждан доступным и комфортным жильем и коммунальными услугами в Омской области"</t>
  </si>
  <si>
    <t>ГП "Развитие транспортной системы Омской области"</t>
  </si>
  <si>
    <t>ГП "Регулирование отношений в сфере труда и занятости населения Омской области"</t>
  </si>
  <si>
    <t>ГП  "Информационное общество"</t>
  </si>
  <si>
    <t>ГП "Государственное управление, управление общественными финансами и имуществом в Омской области"</t>
  </si>
  <si>
    <t>ГП "Энергосбережение и повышение энергетической эффективности в Омской области"</t>
  </si>
  <si>
    <t>ГП "Развитие промышленности в Омской области"</t>
  </si>
  <si>
    <t>ГП "Развитие здравоохранения Омской области до 2020 года"</t>
  </si>
  <si>
    <t>ГП "Развитие образования Омской области"</t>
  </si>
  <si>
    <t>ГП  "Развитие культуры и туризма"</t>
  </si>
  <si>
    <t>ОФСР</t>
  </si>
  <si>
    <t>АИП</t>
  </si>
  <si>
    <t>Смета КУ ОО "УДХ"</t>
  </si>
  <si>
    <t>прочие мероприятия</t>
  </si>
  <si>
    <t>ДОРОЖНЫЙ ФОНД, инвестиционные расходы, в том числе:</t>
  </si>
  <si>
    <t>ДОРОЖНЫЙ ФОНД, неинвестиционные расходы, в том числе:</t>
  </si>
  <si>
    <t>ДОРОЖНЫЙ ФОНД, ВСЕГО, в том числе:</t>
  </si>
  <si>
    <t xml:space="preserve">Содержание, ремонт, капитальный ремонт автомобильных дорог  и сооружений, производственных объектов и проведение отдельных мероприятий, связанных с дорожным хозяйством </t>
  </si>
  <si>
    <t xml:space="preserve">Содержание автомобильных дорог и сооружений </t>
  </si>
  <si>
    <t>3.1</t>
  </si>
  <si>
    <t>3.2</t>
  </si>
  <si>
    <t>ФБ</t>
  </si>
  <si>
    <t>ОБ</t>
  </si>
  <si>
    <t>км</t>
  </si>
  <si>
    <t>Наименование расходов</t>
  </si>
  <si>
    <t>ИНФОРМАЦИЯ</t>
  </si>
  <si>
    <t>1.4</t>
  </si>
  <si>
    <t>1.4.1</t>
  </si>
  <si>
    <t>1.4.2</t>
  </si>
  <si>
    <t>Проектные, научно-исследовательские, опытно-конструкторские и внедренческие работы, проведение экспертизы рабочих проектов, разработка долгосрочных планов, перспективных и годовых прогнозов технического состояния, содержания и развития автомобильных дорог</t>
  </si>
  <si>
    <t>п.м</t>
  </si>
  <si>
    <t>Мощность</t>
  </si>
  <si>
    <t>Источник финанси-рования (ФБ, ОБ)</t>
  </si>
  <si>
    <t>Нераспределенные средства</t>
  </si>
  <si>
    <t xml:space="preserve"> 1.5</t>
  </si>
  <si>
    <t>1.8</t>
  </si>
  <si>
    <t>Приобретение дорожной техники, оборудования и производственных объектов</t>
  </si>
  <si>
    <t>приобретение дорожной техники</t>
  </si>
  <si>
    <t>Государственная программа Омской области "Развитие транспортной системы Омской области"</t>
  </si>
  <si>
    <t>2</t>
  </si>
  <si>
    <t>прочие работы</t>
  </si>
  <si>
    <t>выкуп земельных участков</t>
  </si>
  <si>
    <t>СМР</t>
  </si>
  <si>
    <t>Всего</t>
  </si>
  <si>
    <t>региональные объекты</t>
  </si>
  <si>
    <t>4.3</t>
  </si>
  <si>
    <t xml:space="preserve"> 4.13</t>
  </si>
  <si>
    <t>4.22</t>
  </si>
  <si>
    <t xml:space="preserve"> 5.1</t>
  </si>
  <si>
    <t>Государственная программа Омской области "Развитие сельского хозяйства и регулирование рынков сельскохозяйственной продукции, сырья и продовольствия Омской области"</t>
  </si>
  <si>
    <t>Муниципальные объекты</t>
  </si>
  <si>
    <t xml:space="preserve"> 1.1</t>
  </si>
  <si>
    <t xml:space="preserve"> 1.1.1</t>
  </si>
  <si>
    <t xml:space="preserve"> 1.1.2</t>
  </si>
  <si>
    <t xml:space="preserve"> 1.1.3</t>
  </si>
  <si>
    <t xml:space="preserve"> 1.1.4</t>
  </si>
  <si>
    <t xml:space="preserve"> 1.2.1</t>
  </si>
  <si>
    <t xml:space="preserve"> 1.2.2</t>
  </si>
  <si>
    <t xml:space="preserve"> 1.2.3</t>
  </si>
  <si>
    <t>8.1</t>
  </si>
  <si>
    <t>8.3</t>
  </si>
  <si>
    <t>8.4</t>
  </si>
  <si>
    <t>8.5</t>
  </si>
  <si>
    <t>10</t>
  </si>
  <si>
    <t>Субсидии местными бюджетам на капитальный ремонт, ремонт и автомобильных дорог общего пользования населенных пунктов</t>
  </si>
  <si>
    <t>10.1</t>
  </si>
  <si>
    <t xml:space="preserve"> 10.2</t>
  </si>
  <si>
    <t xml:space="preserve"> 10.3</t>
  </si>
  <si>
    <t>11</t>
  </si>
  <si>
    <t xml:space="preserve"> 11.1</t>
  </si>
  <si>
    <t xml:space="preserve"> 11.2</t>
  </si>
  <si>
    <t>Субсидии местным бюджетам на содержание автомобильных дорог общего пользования населенных пунктов</t>
  </si>
  <si>
    <t>Итого по государственной программе Омской области "Развитие транспортной системы Омской области"</t>
  </si>
  <si>
    <t>Капитальный ремонт автомобильных дорог и сооружений</t>
  </si>
  <si>
    <t xml:space="preserve"> 1.9</t>
  </si>
  <si>
    <t xml:space="preserve"> 11.3</t>
  </si>
  <si>
    <t xml:space="preserve">Обеспечение деятельности учреждения </t>
  </si>
  <si>
    <t>в том числе по УДХ</t>
  </si>
  <si>
    <t>Содержание мостов и путепроводов</t>
  </si>
  <si>
    <t>Содержание ледовых переправ</t>
  </si>
  <si>
    <t>Согласования на перевозку крупногабаритных и тяжеловесных грузов</t>
  </si>
  <si>
    <t>Разрешения на перевозку крупногабаритных и тяжеловесных грузов</t>
  </si>
  <si>
    <t>Согласования на перевозку опасных грузов</t>
  </si>
  <si>
    <t xml:space="preserve">                                      </t>
  </si>
  <si>
    <t>Итого по государственной программе Омской области "Развитие сельского хозяйства и регулирование рынков сельскохозяйственной продукции, сырья и продовольствия Омской области"</t>
  </si>
  <si>
    <t>Субсидии на возмещение затрат, связанных с содержанием паромных переправ на автомобильных дорогаах общего пользования регионального и межмуниципального значения</t>
  </si>
  <si>
    <t>ПИР капитальный ремонт</t>
  </si>
  <si>
    <t>ПИР  ремонт</t>
  </si>
  <si>
    <t>Инвентаризация и юридическое оформление земель под автомобильными дорогами общего пользования и сооружениями на них</t>
  </si>
  <si>
    <t>Работы по технической инвентаризации и кадастровые работы</t>
  </si>
  <si>
    <t>Госпошлина</t>
  </si>
  <si>
    <t>Строительство и реконструкция автомобильных дорог и сооружений, а также расходы, связанные со строительством и реконструкцией автомобильных дорог и сооружений</t>
  </si>
  <si>
    <t>Субсидии местным бюджетам на капитальный ремонт, ремонт автомобильных дорог общего пользования местного значения в поселениях</t>
  </si>
  <si>
    <t xml:space="preserve"> 11.4</t>
  </si>
  <si>
    <t xml:space="preserve"> 11.5</t>
  </si>
  <si>
    <t xml:space="preserve"> 11.6</t>
  </si>
  <si>
    <t xml:space="preserve"> 11.7</t>
  </si>
  <si>
    <t>10.4</t>
  </si>
  <si>
    <t>10.5</t>
  </si>
  <si>
    <t>10.6</t>
  </si>
  <si>
    <t>10.7</t>
  </si>
  <si>
    <t>10.8</t>
  </si>
  <si>
    <t>10.9</t>
  </si>
  <si>
    <t>10.10</t>
  </si>
  <si>
    <t>10.11</t>
  </si>
  <si>
    <t>10.12</t>
  </si>
  <si>
    <t>Кроме того:</t>
  </si>
  <si>
    <t xml:space="preserve">Реконструкция автомобильной дороги Екатеринославка – Шахат, участок км 1+00 – км 4+800 в Шербакульском муниципальном районе Омской области </t>
  </si>
  <si>
    <t>Остаток</t>
  </si>
  <si>
    <t>Ремонт автомобильной дороги Омск – Одесское – граница Республики Казахстан выборочно в Одесском муниципальном районе Омской области</t>
  </si>
  <si>
    <t>Ремонт автомобильной дороги Омск – Тара, участок км 243+000 – км 249+000 в Большереченском муниципальном районе Омской области</t>
  </si>
  <si>
    <t>Ремонт автомобильной дороги Омск – Муромцево – Седельниково, участки км 172+700 – км 173+150, км 174+100 – км 174+900, км 175+856 – км 177+500, км 192+000 – км 195+000 в Муромцевском муниципальном районе Омской области</t>
  </si>
  <si>
    <t>Ремонт автомобильной дороги Омск – Русская Поляна, участок км 16+000 – км 20+000 в Омском муниципальном районе Омской области</t>
  </si>
  <si>
    <t>Ремонт автомобильной дороги Троицкое – Чукреевка («Челябинск – Омск – Новосибирск» – «Омск – Одесское – граница Республика Казахстан») в Омском муниципальном районе Омской области</t>
  </si>
  <si>
    <t>Ремонт автомобильной дороги Новоселецк  – Таврическое  – Нововаршавка, участок км 47+700 – км 57+000 в Таврическом муниципальном районе Омской области</t>
  </si>
  <si>
    <t>Ремонт автомобильной дороги Таврическое - Сосновское, участок км 0+000 – км 2+000 в Таврическом муниципальном районе Омской области</t>
  </si>
  <si>
    <t>Ремонт автомобильной дороги Подъезд к д. Подгородка в Омском муниципальном районе Омской области</t>
  </si>
  <si>
    <t>Ремонт автомобильной дороги Омск – Муромцево – Седельниково, участок км 28+000 – км 50+000 в Омском муниципальном районе Омской области</t>
  </si>
  <si>
    <t>Ремонт автомобильной дороги Омск – Тара, участок км 47+000 – км 66+000 в Любинском муниципальном районе Омской области</t>
  </si>
  <si>
    <t>1.2</t>
  </si>
  <si>
    <t>1.3</t>
  </si>
  <si>
    <t xml:space="preserve">Ремонт автомобильных дорог и сооружений  рамках комплексной программы Омской области "Безопасные и качественные дороги Омской агломерации" </t>
  </si>
  <si>
    <t>Ремонт автомобильных дорог и сооружений в рамках государственной программы Омской области "Развитие транспортной системы Омской области"</t>
  </si>
  <si>
    <t>1.3.1</t>
  </si>
  <si>
    <t>1.3.2</t>
  </si>
  <si>
    <t>1.3.3</t>
  </si>
  <si>
    <t xml:space="preserve">План                               на 2017 год                          </t>
  </si>
  <si>
    <t>Выполнение на 01.06.2017</t>
  </si>
  <si>
    <t>Профинансировано на 01.06.2017</t>
  </si>
  <si>
    <t>Капитальный ремонт автомобильной дороги "Исилькуль - Полтавка" - Соловьёвка, участок км 6 - км 8 в Полтавском муниципальном районе Омской области</t>
  </si>
  <si>
    <t>Капитальный ремонт автобусной остановки на автомобильной дороге Омск - Красноярка (км 27)  в Омском муниципальном районе Омской области</t>
  </si>
  <si>
    <t>Капитальный ремонт водопропускных труб на автомобильной дороге Тобольск - Тара - Томск, участок Тара - Усть-Ишим в Знаменском муниципальном районе Омской области. Труба на км 89+810 .</t>
  </si>
  <si>
    <t>Капитальный ремонт водопропускных труб на автомобильной дороге Бакбасар - Азово - Шербакуль - Полтавка в Полтавском муниципальном районе Омской области. Труба на км 140+500.</t>
  </si>
  <si>
    <t>Капитальный ремонт автобусных остановок на автомобильной дороге Подъезд к раб. пос. Крутая Горка   в Омском муниципальном районе Омской области</t>
  </si>
  <si>
    <t>Капитальный ремонт водопропускных труб на автомобильной дороге Усть-Ишим – Фокино в Усть-Ишимском муниципальном районе Омской области. Труба на км 6+500.</t>
  </si>
  <si>
    <t>Капитальный ремонт площадки для устройства передвижного поста весового контроля на автомобильной дороге Омск - Тара в Тарском муниципальном районе Омской области</t>
  </si>
  <si>
    <t>Капитальный ремонт площадки для устройства передвижного поста весового контроля на автомобильной дороге Омск - Муромцево - Седельниково в Муромцевском муниципальном районе Омской области</t>
  </si>
  <si>
    <t>Капитальный ремонт площадки для устройства передвижного поста весового контроля на автомобильной дороге Омск - Русская Поляна в Русско-Полянском муниципальном районе Омской области</t>
  </si>
  <si>
    <t>Капитальный ремонт площадки для устройства передвижного поста весового контроля на автомобильной дороге Называевск - Тюкалинск в Называевском муниципальном районе Омской области</t>
  </si>
  <si>
    <t>Капитальный ремонт площадки для устройства передвижного поста весового контроля на автомобильной дороге   Тюкалинск - Большие Уки в Большеуковском муниципальном районе Омской области</t>
  </si>
  <si>
    <t>1.2.1</t>
  </si>
  <si>
    <t>1.2.2</t>
  </si>
  <si>
    <t>1.2.3</t>
  </si>
  <si>
    <t>1.2.4</t>
  </si>
  <si>
    <t>1.2.6</t>
  </si>
  <si>
    <t>1.2.7</t>
  </si>
  <si>
    <t>1.2.8</t>
  </si>
  <si>
    <t>1.2.9</t>
  </si>
  <si>
    <t>1.2.10</t>
  </si>
  <si>
    <t>1.2.11</t>
  </si>
  <si>
    <t>1.2.12</t>
  </si>
  <si>
    <t>1.2.13</t>
  </si>
  <si>
    <t>1.6.1</t>
  </si>
  <si>
    <t>1.6.2</t>
  </si>
  <si>
    <t>1.7.1</t>
  </si>
  <si>
    <t>1.7.2</t>
  </si>
  <si>
    <t>Осуществление строительного контроля за выполнением работ</t>
  </si>
  <si>
    <t>Стройконтроль за ремонтом</t>
  </si>
  <si>
    <t>Стройконтроль за кап.ремонтом</t>
  </si>
  <si>
    <t>2.2</t>
  </si>
  <si>
    <t>оплата лизинговых платежей</t>
  </si>
  <si>
    <t>Оплата судебных актов по искам о взыскании денежных средств за счет казны Омской Области</t>
  </si>
  <si>
    <t>Строительство мостового перехода через реку Ухтырма на автомобильной дороге Усть-Ишим – Загваздино – граница Тюменской области  в Усть-Ишимском муниципальном районе Омской области</t>
  </si>
  <si>
    <t>Строительство мостового перехода через реку Саргуска на автомобильной дороге Усть-Ишим – Загваздино – граница Тюменской области  в Усть-Ишимском муниципальном районе Омской области</t>
  </si>
  <si>
    <t>Строительство мостового перехода через реку Суя на автомобильной дороге Усть-Ишим – Загваздино – граница Тюменской области в Усть-Ишимском муниципальном районе Омской области</t>
  </si>
  <si>
    <t>Строительство мостового перехода через реку Туй на 53 км автомобильной дороги Тевриз – Александровка в Тевризском муниципальном районе Омской области</t>
  </si>
  <si>
    <t>Строительство подъезда к крытому физкультурно-оздоровительному сооружению (Хоккейная академия "Авангард") по проспекту Мира, д. 1а в Советском административном округе, г. Омск</t>
  </si>
  <si>
    <t>Строительство автомобильной дороги Обход р.п. Таврическое в Таврическом муниципальном районе Омской области</t>
  </si>
  <si>
    <t>Строительство водопропускных труб на автомобильной дороге Усть-Ишим – Загваздино – граница Тюменской области в Усть-Ишимском муниципальном районе Омской области</t>
  </si>
  <si>
    <t>Строительство мостового перехода через реку Серебрянка на автомобильной дороге Усть-Ишим – Фокино в Усть-Ишимском муниципальном районе Омской области</t>
  </si>
  <si>
    <t>Реконструкция автомобильной дороги Нагорно-Аевск – Бородинка, участок км 0 – км 2 в Тевризском муниципальном районе Омской области</t>
  </si>
  <si>
    <r>
      <t>Реконструкция автомобильной дороги "Исилькуль – Полтавка" – Боровое, участок км 3 – Боровое в Исилькульском муниципальном районе Омской области</t>
    </r>
  </si>
  <si>
    <t>Реконструкция автомобильной дороги Нижняя Омка – Старомалиновка, участок км 53+120 – Покровка в Нижнеомском муниципальном районе Омской области</t>
  </si>
  <si>
    <t>Реконструкция автомобильной дороги Алексеевка – Георгиевка – Новопокровка, участок Богданово – Новопокровка в Горьковском муниципальном районе Омской области</t>
  </si>
  <si>
    <t>Реконструкция автомобильной дороги Называевск – Мангут, участок Котино – Мангут в Называевском муниципальном районе Омской области</t>
  </si>
  <si>
    <t>Реконструкция автомобильной дороги Комсомольский – Лесной, участок Комсомольский – дорога "Челябинск – Омск – Новосибирск" в Исилькульском муниципальном районе Омской области</t>
  </si>
  <si>
    <t>Строительство автомобильной дороги Омск – Русская Поляна, участок с. Милоградовка –  с. Алабота в Русско-Полянском и Павлоградском муниципальных районах Омской области</t>
  </si>
  <si>
    <t>Реконструкция автомобильной дороги Тевриз - Кузнецово, участок Белый Яр - Кузнецово в Тевризском муниципальном районе Омской области (ПИР)</t>
  </si>
  <si>
    <t>Реконструкция транспортной развязки "Станция Входная" в Омском муниципальном районе Омской области (ПИР)</t>
  </si>
  <si>
    <t>Строительство мостового перехода через реку Становка на 17 км автомобильной дороги Большие Уки – Форпост в Большеуковском муниципальном районе Омской области (ПИР)</t>
  </si>
  <si>
    <t>Строительство мостового перехода через реку Становка на 2 км автомобильной дороги Становка – Коновалиха в Большеуковском муниципальном районе Омской области (ПИР)</t>
  </si>
  <si>
    <t>Строительство мостового перехода через реку Тевриз на 1 км автомобильной дороги Яковлевка – Чебачиха в Большеуковском муниципальном районе Омской области (ПИР)</t>
  </si>
  <si>
    <r>
      <t>Строительство мостового перехода через реку Большая Тава на 30 км автомобильной дороги Яковлевка – Чебачиха в Большеуковском муниципальном районе Омской области</t>
    </r>
    <r>
      <rPr>
        <b/>
        <sz val="11"/>
        <color indexed="8"/>
        <rFont val="Times New Roman"/>
        <family val="1"/>
      </rPr>
      <t xml:space="preserve"> </t>
    </r>
    <r>
      <rPr>
        <sz val="11"/>
        <color indexed="8"/>
        <rFont val="Times New Roman"/>
        <family val="1"/>
      </rPr>
      <t>(ПИР)</t>
    </r>
  </si>
  <si>
    <t>Строительство мостового перехода через реку Еланка на 38 км автомобильной дороги Яковлевка – Чебачиха в Большеуковском муниципальном районе Омской области (ПИР)</t>
  </si>
  <si>
    <t>Строительство мостового перехода через реку Чебачиха на 46 км автомобильной дороги Яковлевка – Чебачиха в Большеуковском муниципальном районе Омской области (ПИР)</t>
  </si>
  <si>
    <t>Реконструкция автомобильной дороги Калинино – Новая – Евтушенко, участок км 0 – км 5 в Омском муниципальном районе Омской области</t>
  </si>
  <si>
    <t>Реконструкция автомобильной дороги Омск – Нижняя Омка – граница Новосибирской области, участок км 8 - км 32 в Омском муниципальном районе Омской области (ПИР)</t>
  </si>
  <si>
    <t>Строительство окружной дороги г. Омска, участок Федоровка – Александровка</t>
  </si>
  <si>
    <t>Строительство автомобильной дороги Комсомол – Спайка в Омском и Кормиловском муниципальных районах Омской области (ПИР)</t>
  </si>
  <si>
    <t>Строительство подъезда к с. Большая Тебендя в Усть-Ишимском муниципальном районе Омской области</t>
  </si>
  <si>
    <t>Строительство подъезда к крытому физкультурно-оздоровительному сооружению с плавательным бассейном по ул. Дианова в Кировском административном округе, г. Омск</t>
  </si>
  <si>
    <t>Строительство подъезда к крытому физкультурно-оздоровительному сооружению с плавательным бассейном по   ул. Конева в Кировском административном округе, г. Омск</t>
  </si>
  <si>
    <t>Субсидии федерального бюджета на строительство, реконструкцию автомобильных дорог общего пользования местного значения с твердымпокрытием, ведущих от сети автомобильных дорог общего пользования к ближайшим общественно значимым объектоа сельских населенных пунктов, а также к объектам производства и переработки сельскохозяйственной продукции (субсидии 2017 года)</t>
  </si>
  <si>
    <t>3</t>
  </si>
  <si>
    <t>4.1</t>
  </si>
  <si>
    <t>4.2</t>
  </si>
  <si>
    <t>4.4</t>
  </si>
  <si>
    <t>4.5</t>
  </si>
  <si>
    <t>4.6</t>
  </si>
  <si>
    <t>4.7</t>
  </si>
  <si>
    <t>4.8</t>
  </si>
  <si>
    <t>4.9</t>
  </si>
  <si>
    <t>4.10</t>
  </si>
  <si>
    <t>4.11</t>
  </si>
  <si>
    <t>4.12</t>
  </si>
  <si>
    <t>4.14</t>
  </si>
  <si>
    <t>4.15</t>
  </si>
  <si>
    <t>4.16</t>
  </si>
  <si>
    <t>4.17</t>
  </si>
  <si>
    <t>4.18</t>
  </si>
  <si>
    <t>4.19</t>
  </si>
  <si>
    <t>4.20</t>
  </si>
  <si>
    <t>4.21</t>
  </si>
  <si>
    <t>4.23</t>
  </si>
  <si>
    <t>4.24</t>
  </si>
  <si>
    <t>4.25</t>
  </si>
  <si>
    <t>4.26</t>
  </si>
  <si>
    <t>4.27</t>
  </si>
  <si>
    <t>Иные межбюджетные трансферты  на достижение целевых показателей региональных программ в сфере дорожного хозяйства, предусматривающих приведение в нормативное состояние, а также  развитие и  увеличение пропускной способности сети автомобильных дорог регионального (межмуниципального) или местного значения  (остатки 2016 года)</t>
  </si>
  <si>
    <t>5.1.1</t>
  </si>
  <si>
    <t>5.1.2</t>
  </si>
  <si>
    <t>5.1.3</t>
  </si>
  <si>
    <t>Реконструкция автомобильной дороги Красная Поляна – Павлодаровка, участок км 1 – Исаевка в Горьковском муниципальном районе Омской области</t>
  </si>
  <si>
    <t>СМР (федеральный бюджет)</t>
  </si>
  <si>
    <t>СМР (областной бюджет)</t>
  </si>
  <si>
    <t>Реконструкция автомобильной дороги Тевриз – Александровка, участок Бичили – Екатериновка в Тевризском муниципальном районе Омской области</t>
  </si>
  <si>
    <t>Реконструкция автомобильной дороги "Челябинск – Омск – Новосибирск" – Рославка в Исилькульском муниципальном районе Омской области</t>
  </si>
  <si>
    <t xml:space="preserve">Реконструкция подъезда к аулу Кызылтан в Нововаршавском муниципальном районе Омской области </t>
  </si>
  <si>
    <t xml:space="preserve">Реконструкция автомобильной дороги "Исилькуль – Полтавка" – Кудряевка в Исилькульском муниципальном районе Омской области </t>
  </si>
  <si>
    <t>Реконструкция подъезда к деревне Самаринка в Кормиловском муниципальном районе Омской области</t>
  </si>
  <si>
    <t>Реконструкция автомобильной дороги "Шербакуль - Бабеж" - Больше-Васильевка в Шербакульском муниципальном районе Омской области</t>
  </si>
  <si>
    <t>Реконструкция автомобильной дороги Уленкуль – Каракуль, участок км 1+500 - км 4+500 в Большереченском муниципальном районе Омской области</t>
  </si>
  <si>
    <t>Реконструкция автомобильной дороги Омск – Нижняя Омка – граница Новосибирской области, участок км 128+158 - км 133+158 в Нижнеомском муниципальном районе Омской области</t>
  </si>
  <si>
    <t>Реконструкция автомобильной дороги Солдатка - Максим Горький, участок км 11+800 - км 16+600 в Знаменском муниципальном районе Омской области</t>
  </si>
  <si>
    <t>Субсидии федерального бюджета на строительство, реконструкцию автомобильных дорог общего пользования местного значения с твердымпокрытием, ведущих от сети автомобильных дорог общего пользования к ближайшим общественно значимым объектоа сельских населенных пунктов, а также к объектам производства и переработки сельскохозяйственной продукции (остатки 2016 года)</t>
  </si>
  <si>
    <t>Реконструкция автомобильной дороги Алексеевка – Новопокровка – Саратово,  участок км 19+190 – км 24+190 в Горьковском муниципальном районе Омской области</t>
  </si>
  <si>
    <t>Реконструкция автомобильной дороги Октябрьское – Новооболонь – Георгиевка, участок км 20+00 – км 25+00 в Горьковском муниципальном районе Омской области</t>
  </si>
  <si>
    <t>Реконструкция автомобильной дороги Большой Атмас – Погранично-Григорьевка, участок км 24+800 – км 29+800 в Черлакском муниципальном районе Омской области</t>
  </si>
  <si>
    <t>Реконструкция автомобильной дороги Муромцево – Низовое – Гузенево, участок км 29+300 – км 30+300 в Муромцевском муниципальном районе Омской области</t>
  </si>
  <si>
    <t>Строительство подъездной дороги к племенному репродуктору на 2300 свиноматок, расположенной по адресу Омская область, Омский район, Калининское сельское поселение, ЗАО ППР "Луч"</t>
  </si>
  <si>
    <t>Строительство обхода пос. Магистральный в Омском муниципальном районе Омской области (1, 2 этапы) (ПИР)</t>
  </si>
  <si>
    <t>Реконструкция автомобильной дороги Золотая Нива - Сергеевка, участок Березовка - Сергеевка в Оконешниковском  муниципальном районе Омской области (ПИР)</t>
  </si>
  <si>
    <t>Реконструкция автомобильной дороги 3наменское – Качуково, участок км 4+280 - км 6+2З0 с устройством подъездов к Знаменской паромной переправе через реку Иртыш в Знаменском муниципальном районе Омской области (ПИР)</t>
  </si>
  <si>
    <t>Реконструкция автомобильной дороги Оглухино – Пушкино в Крутинском муниципальном районе Омской области (ПИР)</t>
  </si>
  <si>
    <t>Реконструкция автомобильной дороги Алексеевка – Илеуш, участок подъезда к аулу Илеуш в Москаленском муниципальном районе Омской области</t>
  </si>
  <si>
    <t>ВСЕГО по  УДХ</t>
  </si>
  <si>
    <t xml:space="preserve"> 1.1.5</t>
  </si>
  <si>
    <t xml:space="preserve"> 1.1.6</t>
  </si>
  <si>
    <t xml:space="preserve"> 1.1.7</t>
  </si>
  <si>
    <t xml:space="preserve"> 1.1.8</t>
  </si>
  <si>
    <t xml:space="preserve"> 1.1.9</t>
  </si>
  <si>
    <t xml:space="preserve"> 1.1.10</t>
  </si>
  <si>
    <t xml:space="preserve"> 1.1.11</t>
  </si>
  <si>
    <t xml:space="preserve"> 2.1.1</t>
  </si>
  <si>
    <t xml:space="preserve"> 2.1.2</t>
  </si>
  <si>
    <t xml:space="preserve"> 2.1.3</t>
  </si>
  <si>
    <t>3.3</t>
  </si>
  <si>
    <t>3.4</t>
  </si>
  <si>
    <t>3.5</t>
  </si>
  <si>
    <t>3.6</t>
  </si>
  <si>
    <t>3.7</t>
  </si>
  <si>
    <t>Колосовский муниципальный район</t>
  </si>
  <si>
    <t xml:space="preserve">Автомобильная дорога Колосовка – Вишневое </t>
  </si>
  <si>
    <t>Автомобильная дорога Строкино – Новотроицк</t>
  </si>
  <si>
    <t xml:space="preserve">Автомобильная дорога Старосолдатское – Колосовка </t>
  </si>
  <si>
    <t>Любинский муниципальный район</t>
  </si>
  <si>
    <t>Автомобильная дорога Любинский – Большаковка</t>
  </si>
  <si>
    <t>Марьяновский муниципальный район</t>
  </si>
  <si>
    <t xml:space="preserve">Автомобильная дорога Любинский – Марьяновка </t>
  </si>
  <si>
    <t>Автомобильная дорога Москаленский – Лесногорский – Дачное</t>
  </si>
  <si>
    <t xml:space="preserve">Автомобильная дорога "Челябинск – Омск – Новосибирск" – Степное  </t>
  </si>
  <si>
    <t>Москаленский муниципальный район</t>
  </si>
  <si>
    <t xml:space="preserve">Автомобильная дорога Москаленки – Гвоздевка </t>
  </si>
  <si>
    <t xml:space="preserve">Автомобильная дорога Новоцарицыно – Селивановка </t>
  </si>
  <si>
    <t>Седельниковский муниципальный район</t>
  </si>
  <si>
    <t>Автомобильная дорога Омск – Муромцево – Седельниково</t>
  </si>
  <si>
    <t xml:space="preserve">Автомобильная дорога "Тобольск – Тара – Томск" участок Тара – Седельниково </t>
  </si>
  <si>
    <t xml:space="preserve">Автомобильная дорога "Тобольск – Тара – Томск" участок "Тара – Седельниково" – Новоуйка </t>
  </si>
  <si>
    <t>Тарский муниципальный район</t>
  </si>
  <si>
    <t xml:space="preserve">Автомобильная дорога Большие Кучки – Большие Туралы </t>
  </si>
  <si>
    <t xml:space="preserve">Автомобильная дорога Ложниково – Кириллино </t>
  </si>
  <si>
    <t>Шербакульский муниципальный район</t>
  </si>
  <si>
    <t xml:space="preserve">Автомобильная дорога Обход пос. Шербакуль </t>
  </si>
  <si>
    <t xml:space="preserve">Автомобильная дорога Шербакуль – Солнцево </t>
  </si>
  <si>
    <t>Резервный фонд Правительства РФ (ликвидация последствий подтопления паводковыми водами, произошедшего в период весенне-летнего половодья в 2016 году на территории Омской области)</t>
  </si>
  <si>
    <t>1.5</t>
  </si>
  <si>
    <t>1.9</t>
  </si>
  <si>
    <t>1.10</t>
  </si>
  <si>
    <t>1.11</t>
  </si>
  <si>
    <t>1.12</t>
  </si>
  <si>
    <t>1.13</t>
  </si>
  <si>
    <t>1.14</t>
  </si>
  <si>
    <t>1.15</t>
  </si>
  <si>
    <t>1.16</t>
  </si>
  <si>
    <t>Ремонт автомобильных дорог в г. Исилькуль (ул. Московская, ул. Карла Маркса, ул. Партизанская)</t>
  </si>
  <si>
    <t>Ремонт автомобильных дорог в г. Калачинске (ул. П. Ильичева, ул. Пионерская, ул. Красноармейская, ул. Вокзальная (от ул. Калачинская до ул. Ленина), ул. Верхнебереговая, ул. Семашко (от ул. Советская до ул. Больничная), ул. Пролетарская, ул. Ленина, ул. Советская (от ул. Заводская до ДОСААФ))</t>
  </si>
  <si>
    <t xml:space="preserve">Ремонт автомобильных дорог в р.п. Крутинка (ул. Красная Заря,
ул. Южная, ул. Красный Путь, ул. Совхозная, ул. Октябрьская, ул. Делегатская, ул. Чкалова, ул. Химиков, ул. 1 Мая, переулок Больничный, ул. Маяковского (от ул. Комсомольская до дома № 18а по ул. Маяковского), ул. Маяковского (от дома № 22 по ул. Маяковского до ул. Мелиораторов))
</t>
  </si>
  <si>
    <t>Ремонт автомобильных дорог в с. Зимино (ул. Садовая, ул. Советская, ул. Центральная, ул. Рабочая, ул. Животноводов)</t>
  </si>
  <si>
    <t>Ремонт автомобильных дорог в р.п. Красный Яр (ул. Первомайская (до дома № 16), ул. Октябрьская)</t>
  </si>
  <si>
    <t>Ремонт автомобильных дорог в р.п. Муромцево (ул. Партизанская (от пересечения с ул. Степная до примыкания ул. Ленина), ул. Ленина (от ул. 30 лет Победы до дома № 59 А), ул. Омская, ул. Иванишко (от дома № 3 до пересечения с ул. Лисина), ул. Заготзерно)</t>
  </si>
  <si>
    <t>Ремонт автомобильных дорог в г. Называевске (ул. Первомайская (от пер. Банный до ул. Энергетиков), ул. Кирова (от ул. Мичурина до ул. Ленина), ул. Пролетарская (от ул. Мичурина до дома № 83 по 
ул. Пролетарская), ул. Кутузова (от ул. Красная до ул. Ленина), ул. Красная (от ул. Кутузова до ул. Мичурина))</t>
  </si>
  <si>
    <t>Ремонт автомобильной дороги в п. Большегривское (ул. Строительная)</t>
  </si>
  <si>
    <t>г. Омск</t>
  </si>
  <si>
    <t>Ремонт автомобильной дороги в г. Омске (Красноярский тракт (от путепровода по ул. Заозерная до границы г. Омска))</t>
  </si>
  <si>
    <t>Ремонт автомобильной дороги в г. Омске (ул. Сибирский проспект (от ул. Новокирпичная до ул. Гашека))</t>
  </si>
  <si>
    <t>Ремонт автомобильной дороги в г. Омске (ул. Волгоградская (от ул. Кондратюка до бульвара Архитекторов))</t>
  </si>
  <si>
    <t>Ремонт автомобильной дороги в г. Омске (круговая развязка и подходы Ленинградского моста (в том числе со стороны ул. Масленникова))</t>
  </si>
  <si>
    <t>Ремонт автомобильной дороги в г. Омске (просп. Королева (от ул. Химиков до ул. Заозерная и от ул. 7-я Дунайская до Красноярского тракта))</t>
  </si>
  <si>
    <t>Ремонт автомобильной дороги в г. Омске (ул. 2-я Восточная (от ул. Барнаульская до Октябрьского моста с подходами со стороны ул. А. Нейбута))</t>
  </si>
  <si>
    <t>Ремонт автомобильной дороги в г. Омске (ул. 5-я Кировская (от ул. О. Кошевого до пересечения с ул. Талалихина))</t>
  </si>
  <si>
    <t>Ремонт автомобильной дороги в г. Омске (ул. 22-го Партсъезда (от ул. 1-я Челюскинцев до ул. Раздольная))</t>
  </si>
  <si>
    <t>Ремонт автомобильной дороги в г. Омске (ул. 22-го Декабря (от ул. Полярная до Исилькульского тракта))</t>
  </si>
  <si>
    <t>Ремонт автомобильной дороги в г. Омске (ул. 25-я Северная (от ул. 24-я Северная до Красноярского тракта))</t>
  </si>
  <si>
    <t>Ремонт автомобильной дороги в г. Омске (ул. Авиационная (от ул. 22-го Декабря до ул. Транссибирская))</t>
  </si>
  <si>
    <t>Ремонт автомобильной дороги в г. Омске (ул. Гашека (от ул. Машиностроительная до Сибирского проспекта))</t>
  </si>
  <si>
    <t>Ремонт автомобильной дороги в г. Омске (ул. Госпитальная (от ул. 11-я Ремесленная до путепровода по ул. Госпитальная))</t>
  </si>
  <si>
    <t>Ремонт автомобильной дороги в г. Омске (ул. Заозерная (от просп. Королева до конца путепровода по ул. Заозерная))</t>
  </si>
  <si>
    <t>10.17</t>
  </si>
  <si>
    <t>10.18</t>
  </si>
  <si>
    <t>10.19</t>
  </si>
  <si>
    <t>10.20</t>
  </si>
  <si>
    <t>10.21</t>
  </si>
  <si>
    <t>10.22</t>
  </si>
  <si>
    <t>10.23</t>
  </si>
  <si>
    <t>10.24</t>
  </si>
  <si>
    <t>Ремонт автомобильных дорог в г. Тара (ул. Школьная, ул. Чкалова (от ул. 7-я Линия до ул. Советская), ул. Университетская, ул. Советская (от ул. Гвардейская до ул. Транспортная), ул. Республики (от ул. Чкалова до пер. Лермонтовский), ул. 1-я Рабочая, пер. Лермонтовский (от ул. Транспортная до ул. Республики))</t>
  </si>
  <si>
    <t>Ремонт автомобильных дорог в г. Тюкалинск (ул. Чапаева (сооружение моста по ул. Чапаева, ул. Чапаева от ул. Ноябрьская до ул. 1-я Зеленая), ул. 2-я Севернаяот (ул. Чапаева до ул. 1-я Магистральная))</t>
  </si>
  <si>
    <t>10.25</t>
  </si>
  <si>
    <t>10.26</t>
  </si>
  <si>
    <t>10.27</t>
  </si>
  <si>
    <t>10.13</t>
  </si>
  <si>
    <t>10.14</t>
  </si>
  <si>
    <t xml:space="preserve"> 10.15</t>
  </si>
  <si>
    <t xml:space="preserve"> 10.16</t>
  </si>
  <si>
    <t>Ремонт автомобильных дорог в с. Нижняя Омка (ул. Овражная (от ул. Животноводов), ул. Ленина (от ул. Почтовая до ул. Кооперативная), ул. Кирова, ул. Луговая, ул. Романенко, ул. Гагарина (от ул. Школьная до ул. Транспортная), ул. П. Ильичева (возле спортивного комплекса), ул. П. Ильичева (от ул. Ленина до моста), ул. Юбилейная, пер. Школьный (от ул. Трудовая до ул. Северная), пер. Школьный (от ул. П. Ильичева до ул. Транспортная), ул. Транспортная (от автовокзала до ул. Романенко), ул. Транспортная (от ул. Почтовая до автовокзала), ул. Трудовая (от ул. П. Ильичева до котельной),  ул. Трудовая (от ул. 30 лет Победы до ул. Почтовая), ул. Парковая (от ул. П. Ильичева), ул. Воронкова, ул. Майская, ул. 50 лет Октября, ул. Мира, ул. 30 лет Победы (от ул. Трудовая до ул. Парковая), ул. Парковая (от ул. 30 лет Победы до ул. П. Ильичева), ул. Кооперативная (от ул. Ленина до ул. Трудовая), ул. Животноводов (от перекрестка с ул. Майская))</t>
  </si>
  <si>
    <t>Содержание автомобильных дорог в с. Большие Уки</t>
  </si>
  <si>
    <t>Содержание автомобильных дорог в с. Становка, с. Форпост,                                         деревне Коновалиха</t>
  </si>
  <si>
    <t>Летнее и зимнее содержание автомобильных дорог общего пользования местного значения на территории Горьковского муниципального района Омской области</t>
  </si>
  <si>
    <t>Содержание участка автомобильной дороги от деревни Салтаим до ддеревни Берёзово автомобильной дороги деревня Салтаим – деревня Калугино – деревня Берёзово (от областной дороги Крутинка – Новокарасук)</t>
  </si>
  <si>
    <t>Летнее содержание автомобильных дорог в г. Омске</t>
  </si>
  <si>
    <t>Содержание автомобильных дорог Харламовского сельского поселения</t>
  </si>
  <si>
    <t xml:space="preserve">Содержание автомобильных дорог в г. Тюкалинске
</t>
  </si>
  <si>
    <t>Реконструкция автодороги от а. Тулумбай до автодороги Сосновка-Поповка Азовского ННМР Омской области, в том числе</t>
  </si>
  <si>
    <t>Реконструкция автомобильной дороги по ул. Луговая в с. Знаменское Знаменского муниципального района Омской области</t>
  </si>
  <si>
    <t>Реконструкция подъезда к деревне Евсюки Исилькульского муниципального района Омской области, в том числе</t>
  </si>
  <si>
    <t>Строительство автомобильных дорог в микрорайоне Заречный г. Калачинске 1 этап (ул. Еремина, ул. Молкомбинатовская), в том числе</t>
  </si>
  <si>
    <t>Реконструкция автомобильной дороги от шоссе до деревни 18 Партсъезд, инвентарный номер 90000312, расположенной по адресу: Омская область, Омский район, деревня 18 Партсъезд от шоссе до дома № 1 по ул. Центральной, в том числе</t>
  </si>
  <si>
    <t>Реконструкция автомобильной дороги, расположенной по адресу: Омская область, Омский район, от въезда на ул. Железнодорожная п. Горячий Ключ до СНТ "Яблонька", инвентарный номер 90000790, в том числе</t>
  </si>
  <si>
    <t>Реконструкция подъезда к пос. Пятилетка в Тарском муниципальном районе Омской области, в том числе</t>
  </si>
  <si>
    <t>Строительство улично-дорожной сети в микрорайоне "Чекрушанский" с Чёкрушево Тарского муниципального района Омской области</t>
  </si>
  <si>
    <t>8.6</t>
  </si>
  <si>
    <t>8.7</t>
  </si>
  <si>
    <t>8.8</t>
  </si>
  <si>
    <t>8.9</t>
  </si>
  <si>
    <t>Ремонт автомобильной дороги в г. Омске (улица 1-я Заводская (от проспекта Губкина до улицы Энтузиастов))</t>
  </si>
  <si>
    <t xml:space="preserve">Ремонт автомобильной дороги в г. Омске (улица 33-я Северная (от улицы Герцена до улицы 21-й Амурской))
</t>
  </si>
  <si>
    <t xml:space="preserve">Ремонт автомобильной дороги в г. Омске (улица Энтузиастов (от улицы Доковской до улицы Химиков))
</t>
  </si>
  <si>
    <t>Ремонт автомобильной дороги в г. Омске (улица 6-я Станционная (от улицы Новокирпичной  до улицы 6-й Ленинградской))</t>
  </si>
  <si>
    <t>Ремонт автомобильной дороги в г. Омске (улица 4-я Челюскинцев (от улицы Пристанционной до улицы 21-й Амурской))</t>
  </si>
  <si>
    <t xml:space="preserve">Ремонт автомобильной дороги в г. Омске (улица  Березовая (от улицы Красный Путь до проспекта Королева))
</t>
  </si>
  <si>
    <t>Ремонт автомобильной дороги в г. Омске (улица Нефтезаводская (от улицы Энтузиастов до проспекта Губкина))</t>
  </si>
  <si>
    <t xml:space="preserve">Ремонт автомобильной дороги в г. Омске (улица Граничная (от улицы 22 Декабря до улицы Димитрова))
</t>
  </si>
  <si>
    <t xml:space="preserve">Ремонт автомобильной дороги в г. Омске (улица О. Кошевого (от улицы Пристанской до улицы 5-й Кировской))
</t>
  </si>
  <si>
    <t xml:space="preserve">Ремонт автомобильной дороги в г. Омске (улица Крупской (от улицы Лукашевича до улицы Перелета))
</t>
  </si>
  <si>
    <t xml:space="preserve">Ремонт автомобильной дороги в г. Омске (улица 22 Апреля (от улицы Энергетиков до улицы Доковской))
</t>
  </si>
  <si>
    <t xml:space="preserve">Ремонт автомобильной дороги в г. Омске (улица Заводская (от улицы Нефтезаводской до улицы Комбинатской))
</t>
  </si>
  <si>
    <t xml:space="preserve">Ремонт автомобильной дороги в г. Омске (улица Ватутина (от бульвара Архитекторов до улицы Конева и от улицы Перелета до улицы Лукашевича))
</t>
  </si>
  <si>
    <t xml:space="preserve">Ремонт автомобильной дороги в г. Омске (улица Гуртьева (от улицы Д. Бедного до улицы Новосортировочной))
</t>
  </si>
  <si>
    <t>Ремонт автомобильной дороги в г. Омске (улица 2-я Солнечная (от улицы Коттеджной до улицы Волгоградской))</t>
  </si>
  <si>
    <t xml:space="preserve">Ремонт автомобильной дороги в г. Омске (улица Мельничная (от улицы Нефтебаза до улицы 3-й Казахстанской))
</t>
  </si>
  <si>
    <t>Ремонт автомобильной дороги в г. Омске (улица Суворова (от улицы Володарского до круговой развязки Ленинградского моста))</t>
  </si>
  <si>
    <t>9.18</t>
  </si>
  <si>
    <t>9.1</t>
  </si>
  <si>
    <t>9.2</t>
  </si>
  <si>
    <t>9.3</t>
  </si>
  <si>
    <t>9.4</t>
  </si>
  <si>
    <t>9.5</t>
  </si>
  <si>
    <t>9.6</t>
  </si>
  <si>
    <t>9.7</t>
  </si>
  <si>
    <t>9.8</t>
  </si>
  <si>
    <t>9.9</t>
  </si>
  <si>
    <t>9.10</t>
  </si>
  <si>
    <t>9.11</t>
  </si>
  <si>
    <t>9.12</t>
  </si>
  <si>
    <t>9.13</t>
  </si>
  <si>
    <t>9.14</t>
  </si>
  <si>
    <t>9.15</t>
  </si>
  <si>
    <t>9.16</t>
  </si>
  <si>
    <t>9.17</t>
  </si>
  <si>
    <t xml:space="preserve"> 1.2.4</t>
  </si>
  <si>
    <t>Реконструкция подъезда к деревне Подлесное Черлакского муниципального района Омской области</t>
  </si>
  <si>
    <t>Реконструкция подъезда к деревне Елизаветино Шербакульского муниципального района Омской области</t>
  </si>
  <si>
    <t>Реконструкция подъезда к аулу Койчубай Шербакульского муниципального района Омской области</t>
  </si>
  <si>
    <t>Ремонт автомобильных дорог в с. Александровка (ул. Советская)</t>
  </si>
  <si>
    <t>Ремонт автомобильных дорог в с. Березовка (ул. Садовая, ул. Мичурина)</t>
  </si>
  <si>
    <t>Ремонт автомобильных дорог в с. Звонарев Кут (ул. Школьная)</t>
  </si>
  <si>
    <t>Ремонт автомобильных дорог в с. Могильно-Посельское (ул. Чехова),              д. Могильно-Старожильск (ул. Чехова)</t>
  </si>
  <si>
    <t xml:space="preserve">Ремонт автомобильных дорог в с. Почекуево (ул. Красноармейская)
</t>
  </si>
  <si>
    <t xml:space="preserve">Ремонт автомобильных дорог в с. Уленкуль (ул. Советов)
</t>
  </si>
  <si>
    <t xml:space="preserve">Ремонт автомобильных дорог в с. Белогривка (ул. Сидельникова (от ул. Новогодняя до пересечения с ул. Молодежная), ул. Молодежная (от дома     № 18 до дома № 24), переулок Котельный (от д. № 1 до д. № 2)
</t>
  </si>
  <si>
    <t xml:space="preserve">Ремонт автомобильных дорог в с. Большие Уки (ул. Ленина (от ул. Башмакова до переулка Иванова; от переулка Больничный до ул. Избышева); ул. Свердлова (от пересечения с а/д "Обход с. Большие Уки" до пересечения с ул. Транспортная); ул. Пролетарская (от д. № 58 до д. № 69); ул. Калинина (от пересечения с ул. Речная до д. № 33)
</t>
  </si>
  <si>
    <t xml:space="preserve">Ремонт автомобильных дорог в с. Красная Поляна (ул. Ленина)
</t>
  </si>
  <si>
    <t>Ремонт автомобильных дорог в с. Рощино (ул. Мира)</t>
  </si>
  <si>
    <t xml:space="preserve">Ремонт автомобильных дорог в с. Серебряное (ул. Красноярова, ул. Ленина, ул. Гагарина)
</t>
  </si>
  <si>
    <t xml:space="preserve">Ремонт автомобильных дорог в с. Сухое (ул. 25 Партсъезда, ул. Кирова)
</t>
  </si>
  <si>
    <t xml:space="preserve">Ремонт автомобильных дорог в с. Бутаково (ул. Школьная)
</t>
  </si>
  <si>
    <t xml:space="preserve">Ремонт автомобильных дорог в с. Знаменское (ул. Набережная, ул. Копейкиной, ул. Транспортная)
</t>
  </si>
  <si>
    <t xml:space="preserve">Ремонт автомобильных дорог в с. Шухово (ул. Ленина, ул. Молодежная (от пересечения с ул. 60 лет СССР до пересечения с ул. Ленина))
</t>
  </si>
  <si>
    <t xml:space="preserve">Ремонт автомобильных дорог в с. Баррикада (ул. Комсомольская (от дома № 61 до дома № 77))
</t>
  </si>
  <si>
    <t xml:space="preserve">Ремонт автомобильных дорог в п. Боевой (ул. Мира (от дома № 21 до примыкания переулка Банного); ул. Южная (от дома № 9 до дома № 13); ул. Дружбы (от дома № 1 до дома № 2); переулок от детского сада до примыкания к ул. Ермолаева)
</t>
  </si>
  <si>
    <t xml:space="preserve">Ремонт автомобильных дорог в д. Пучково (ул. Чкалова, от дома № 2)
</t>
  </si>
  <si>
    <t xml:space="preserve">Ремонт автомобильных дорог в п. Лесной (ул. Ленина (от дома № 14 до дома № 18))
</t>
  </si>
  <si>
    <t>Ремонт автомобильных дорог в с. Медвежье (ул. П. Морозова (от дома №№ 1 – 11)</t>
  </si>
  <si>
    <t>Ремонт автомобильных дорог в с. Новорождественка (ул. Октябрьская – от дома № 8 до дома № 20)</t>
  </si>
  <si>
    <t>Ремонт автомобильных дорог в с. Первотаровка (ул. Украинская (от дома № 28 до дома № 11))</t>
  </si>
  <si>
    <t xml:space="preserve">Ремонт автомобильных дорог в с. Солнцевка (ул. Школьная (от дома №№ 42 – 50)
</t>
  </si>
  <si>
    <t xml:space="preserve">Ремонт автомобильных дорог в с. Украинка (ул. Ленина (от дома № 32 до дома № 50))
</t>
  </si>
  <si>
    <t>Ремонт автомобильных дорог в д. Ковалево (ул. Школьная (от дома № 2 до дома № 34))</t>
  </si>
  <si>
    <t xml:space="preserve">Ремонт автомобильных дорог в с. Кабанье (ул. ОКДВА (от ул. Союзная до здания № 47))
</t>
  </si>
  <si>
    <t>Ремонт автомобильных дорог в с. Куликово (переулок, соединяющий пер. Школьный и ток, участок № 1 и участок № 2)</t>
  </si>
  <si>
    <t>Ремонт автомобильных дорог в с. Репинка (ул. Спортивная (от ул. Советская до ул. Юбилейная), ул. Юбилейная (от дома № 17 до ул. Степная)</t>
  </si>
  <si>
    <t xml:space="preserve">Ремонт автомобильных дорог в с. Крайчиково (ул. Матросова)
</t>
  </si>
  <si>
    <t xml:space="preserve">Ремонт автомобильных дорог в с. Колосовка 
(ул. Ленина (от дома № 92 до дома № 99, от дома № 10 до дома № 20, от дома № 56 до дома № 54, от дома № 30 до дома № 35), ул. Заречная (от дома № 2 до дома № 8, от дома № 10 до дома № 20), ул. Калинина (от дома № 12 до дома № 30), ул. Кирова (от дома № 34 до дома № 53, от дома № 55 до дома № 57, от дома № 70 до дома № 95)
</t>
  </si>
  <si>
    <t xml:space="preserve">Ремонт автомобильных дорог в с. Талбакуль (ул. Российская, ул. Сибирская)
</t>
  </si>
  <si>
    <t xml:space="preserve">Ремонт автомобильных дорог в с. Таскатлы (ул. Центральная)
</t>
  </si>
  <si>
    <t xml:space="preserve">Ремонт автомобильных дорог в с. Строкино (ул. Юбилейная)
</t>
  </si>
  <si>
    <t>Ремонт автомобильных дорог в р.п. Кормиловка (ул. Кирова от въезда в р.п. Кормиловка до ул. Первомайская)</t>
  </si>
  <si>
    <t>Ремонт автомобильных дорог в с. Новокарасук (ул. 50 лет Октября)</t>
  </si>
  <si>
    <t>Ремонт автомобильных дорог в с. Оглухино (ул. Советская)</t>
  </si>
  <si>
    <t xml:space="preserve">Ремонт автомобильных дорог в с. Алексеевка (ул. Ленина (от ул. Комсомольская до дома № 38))
</t>
  </si>
  <si>
    <t xml:space="preserve">Ремонт автомобильных дорог в п. Большаковка (ул. Юбилейная (от ул. Школьная до дома № 7))
</t>
  </si>
  <si>
    <t xml:space="preserve">Ремонт автомобильных дорог в п. Веселая Поляна (ул. Советская)
</t>
  </si>
  <si>
    <t xml:space="preserve">Ремонт автомобильных дорог в д. 16-й Партсъезд (ул. Центральная (от дома № 30 до дома № 57))
</t>
  </si>
  <si>
    <t xml:space="preserve">Ремонт автомобильных дорог в р.п. Красный Яр (ул. Северная (от ул. Школьная 29 до ул. Молодежная 1))
</t>
  </si>
  <si>
    <t xml:space="preserve">Ремонт автомобильных дорог в с. Новоархангелка (ул. Советская (от дома № 30 до дома № 44))
</t>
  </si>
  <si>
    <t xml:space="preserve">Ремонт автомобильных дорог в с. Новокиевка (ул. Куйбышева (от дома № 40 до дома № 52))
</t>
  </si>
  <si>
    <t xml:space="preserve">Ремонт автомобильных дорог в с. Протопоповка (ул. Центральная (от дома № 1 до дома № 18))
</t>
  </si>
  <si>
    <t xml:space="preserve">Ремонт автомобильных дорог в п. Северо-Любинский (ул. Советская (от въезда в поселок в направлении ул. Степной), ул. Спортивная (от дома № 6 до дома № 14), ул. Первомайская (от дома № 62 в направлении дома № 56))
</t>
  </si>
  <si>
    <t xml:space="preserve">Ремонт автомобильных дорог в п. Центрально-Любинский (ул. Советская (от дома № 15 до здания № 25))
</t>
  </si>
  <si>
    <t>Ремонт автомобильных дорог в р.п. Марьяновка (ул. Северная (от ул. Кононцева до ул. Авиационная), ул. Пролетарская (от ул. Кононцева до пер. 40 лет Октября))</t>
  </si>
  <si>
    <t xml:space="preserve">Ремонт автомобильной дороги в д. Гвоздевка (ул. Степная (от дома № 1 до дома № 17))
</t>
  </si>
  <si>
    <t xml:space="preserve">Ремонт автомобильной дороги в с. Екатериновка (ул. Школьная)
</t>
  </si>
  <si>
    <t>Ремонт автомобильной дороги в д. Шефер (ул. Центральная)</t>
  </si>
  <si>
    <t>Ремонт автомобильной дороги в р.п. Москаленки: ул. 1-я Северная (от дома № 92 до дома № 126); ул. 4-я Северная (от дома № 38 до дома № 42)</t>
  </si>
  <si>
    <t xml:space="preserve">Ремонт автомобильных дорог в д. Родная Долина (ул. Западная между ул. 40 лет Победы и ул. Молодежная)
</t>
  </si>
  <si>
    <t xml:space="preserve">Ремонт автомобильных дорог в д. Родная Долина (ул. 40 лет Победы от дома № 18 до ул. Западной)
</t>
  </si>
  <si>
    <t>Ремонт автомобильных дорог в с. Артын (ул. Советская (от дома № 1 до дома № 71 и от дома № 2 до дома № 64))</t>
  </si>
  <si>
    <t>Ремонт автомобильных дорог в с. Камышино-Курское (ул. Магистральная от начала до пересечения с ул. Шашковой)</t>
  </si>
  <si>
    <t xml:space="preserve">Ремонт автомобильных дорог в с. Моховой Привал (ул. Бараба (от дома № 9 до дома № 29))
</t>
  </si>
  <si>
    <t>Ремонт автомобильных дорог в с. Большепесчанка (ул. Центральная, ул. Советская)</t>
  </si>
  <si>
    <t>Ремонт автомобильных дорог в с. Кисляки (ул. Новая)</t>
  </si>
  <si>
    <t xml:space="preserve">Ремонт автомобильных дорог в с. Князево (ул. Октябрьская)
</t>
  </si>
  <si>
    <t xml:space="preserve">Ремонт автомобильных дорог в с. Муравьевка (ул. Колхозная)
</t>
  </si>
  <si>
    <t xml:space="preserve">Ремонт автомобильных дорог в с. Налимово (ул. Приозерная)
</t>
  </si>
  <si>
    <t xml:space="preserve">Ремонт автомобильных дорог в с. Антоновка (ул. Совхозная, ул. П. Ильичева)
</t>
  </si>
  <si>
    <t xml:space="preserve">Ремонт автомобильных дорог в с. Глухониколаевка (ул. Школьная)
</t>
  </si>
  <si>
    <t xml:space="preserve">Ремонт автомобильных дорог в с. Смирновка (ул. Школьная, ул. Центральная, ул. Переулок школьный)
</t>
  </si>
  <si>
    <t xml:space="preserve">Ремонт автомобильных дорог в с. Ермак (ул. 40 лет Победы)
</t>
  </si>
  <si>
    <t xml:space="preserve">Ремонт автомобильных дорог в с. Заречное (ул. Больничная)
</t>
  </si>
  <si>
    <t xml:space="preserve">Ремонт автомобильных дорог в с. Изумрудное (ул. Центральная)
</t>
  </si>
  <si>
    <t xml:space="preserve">Ремонт автомобильных дорог в с. Черлакское (ул. Торговая)
</t>
  </si>
  <si>
    <t xml:space="preserve">Ремонт автомобильных дорог в с. Благодаровка (ул. Советская (от ул. Магистральная до ул. Центральная), пер. Больничный (от ул. Центральная до ул. Украинская))
</t>
  </si>
  <si>
    <t xml:space="preserve">Ремонт автомобильных дорог в с. Ганновка (ул. Зеленая (от жд № 1 до жд № 23))
</t>
  </si>
  <si>
    <t>Ремонт автомобильных дорог в с. Лукьяновка (ул. Майская (от жд № 41 до жд № 63))</t>
  </si>
  <si>
    <t>Ремонт автомобильных дорог в с. Одесское (ул. Целинная (от пустыря до № 32), ул. Колхозная (от № 2 до № 12, от № 21 до № 33), пер. Мельничный (от жд № 1 до жд № 17))</t>
  </si>
  <si>
    <t xml:space="preserve">Ремонт автомобильных дорог в с. Орехово (ул. Гагарина (на участке от ул. Ленина до ул. 50 лет СССР))
</t>
  </si>
  <si>
    <t xml:space="preserve">(Ремонт автомобильных дорог в с. Красовка (ул. Островского (от школы до ул. Маяковского))
</t>
  </si>
  <si>
    <t xml:space="preserve">Ремонт автомобильных дорог в с. Куломзино (ул. Центральная (от ул. Школьная до ул. Ленина))
</t>
  </si>
  <si>
    <t>Ремонт автомобильных дорог в р.п. Оконешниково (ул. Коммунистическая)</t>
  </si>
  <si>
    <t xml:space="preserve">Ремонт автомобильных дорог в с. Красноярка (ул. Ленина (от дома № 103 до дома № 113))
</t>
  </si>
  <si>
    <t xml:space="preserve">Ремонт автомобильных дорог в с. Красноярка (ул. Лесношкольная)
</t>
  </si>
  <si>
    <t>Ремонт автомобильных дорог от ул. Березовая до трассы на п. Береговой в п. Ключи, Ключевского СП, Омского МР, Омской области (обочины водоотводные канавы, переходы, остановочный комплекс, разметка проезжей части)</t>
  </si>
  <si>
    <t xml:space="preserve">Ремонт автомобильных дорог в п. Магистральный
(ул. Молодежная от объездной дороги до переезда (от жилого дома по ул. Молодежная, 18 до поворота на ул. Зеленая; от жилого дома по ул. Молодежная, 2 до жилого дома ул. Молодежная, 1 В)
</t>
  </si>
  <si>
    <t>Ремонт автомобильных дорог в п. Дачный (ул. Дачная), д. Большекулачье (ул. Благодатная (от дома № 37А до дома № 37/1))</t>
  </si>
  <si>
    <t xml:space="preserve">Ремонт автомобильных дорог в с. Новотроицкое (ул. Ленина, ул. Центральная)
</t>
  </si>
  <si>
    <t xml:space="preserve">Ремонт автомобильных дорог в п. Омский (ул. Центральная)
</t>
  </si>
  <si>
    <t xml:space="preserve">Ремонт автомобильных дорог в с. Покровка (пер. Центральный (от ул. Центральная до пустыря), пер. Детсадовский (от ул. Центральная до ул. Стрельникова)
</t>
  </si>
  <si>
    <t>Ремонт автомобильных дорог в р.п. Павлоградка (ул. Колхозная от дома № 7 до дома № 9А, от дома № 16 до пересечения с ул. Советская); ул. Пролетарская от дома № 12 до дома № 14, от дома № 20 до пересечения с ул. Стадионная, от дома № 31 до дома № 35, от дома № 34 до пересечения с ул. Украинская); ул. Стадионная от ул. Пролетарская до ул. Советская; ул. Ленина от ул. Шевченко до д. № 23, от д. № 88 до ул. Советская; ул. Больничная от пересечения с ул. Колхозная до дома № 30)</t>
  </si>
  <si>
    <t xml:space="preserve">Ремонт автомобильных дорог в с. Новоильиновка (ул. Долиной)
</t>
  </si>
  <si>
    <t xml:space="preserve">Ремонт автомобильных дорог в с. Ольгино (ул. Советская, ул. Школьная, ул. К. Маркса
</t>
  </si>
  <si>
    <t>(Ремонт автомобильных дорог в р.п. Полтавка (ул. 1 Восточная, ул. Победы, ул. Гуртьева, ул. Олимпийская)</t>
  </si>
  <si>
    <t xml:space="preserve">Ремонт автомобильных дорог в с. Добровольск (ул. Ленина от ул. Школьная до ул. Целинная – 110 м, от ул. Молодежная до 1340-го м (257 м) по ул. Ленина)
</t>
  </si>
  <si>
    <t xml:space="preserve">Ремонт автомобильных дорог в с. Бологое (ул. Олимпийская (от дома № 1а до ул. Ленина))
</t>
  </si>
  <si>
    <t xml:space="preserve">Ремонт автомобильных дорог в р.п. Русская Поляна (пер. Первомайский, от д. № 26 д. № 32)
</t>
  </si>
  <si>
    <t xml:space="preserve">Ремонт автомобильных дорог в с. Хлебодаровка (ул. Октябрьская, от ул. Юбилейная до ул. 25-летия Совхоза)
</t>
  </si>
  <si>
    <t xml:space="preserve">Ремонт автомобильных дорог в с. Цветочное (ул. Кооперативная, от ул. Владимировской до ул. Комсомольской)
</t>
  </si>
  <si>
    <t>Ремонт автомобильных дорог в р.п. Саргатское (ул. Октябрьская (от ул. Худенко, 83 до ул. Октябрьская, 38), ул. Солнечная (от ул. Октябрьская, 12 до ул. Солнечная, 40), ул. Трактовая от дома № 18 до дома № 38))</t>
  </si>
  <si>
    <t xml:space="preserve">Ремонт автомобильных дорог в с. Хохлово (ул. Центральная (от дома № 20 до дома № 38), ул. Первомайская (от дома № 14 до дома № 30))
</t>
  </si>
  <si>
    <t xml:space="preserve">(Ремонт автомобильных дорог в с. Седельниково (ул. Гагарина, ул. Горького, ул. Избышева, ул. Партизанская, ул. Кооперативная)
</t>
  </si>
  <si>
    <t xml:space="preserve">Ремонт автомобильных дорог в п. Новоуральский (ул. Школьная от жилого дома № 42 до жилого дома № 52)
</t>
  </si>
  <si>
    <t xml:space="preserve">Ремонт автомобильных дорог в с. Сосновское (ул. Улыбина от дома № 7 до дома № 11, от перекрестка ул. Улыбина с ул. Пушкина до дома № 11 ул. Жукова)
</t>
  </si>
  <si>
    <t xml:space="preserve">Ремонт автомобильных дорог в р.п. Таврическое (ул. Химиков)
</t>
  </si>
  <si>
    <t xml:space="preserve">Ремонт автомобильных дорог в д. Фрунзе (ул. Коммуны)
</t>
  </si>
  <si>
    <t xml:space="preserve">Ремонт автомобильных дорог в с. Ложниково (ул. Березовая)
</t>
  </si>
  <si>
    <t xml:space="preserve">Ремонт автомобильных дорог в с. Орлово (ул. Центральная)
</t>
  </si>
  <si>
    <t xml:space="preserve">Ремонт автомобильных дорог в с. Чёкрушево (ул. Зелёная)
</t>
  </si>
  <si>
    <t xml:space="preserve">Ремонт автомобильных дорог в р.п. Тевриз (ул. Новая, ул. Белинского, ул. Калинина, ул. Гуртьева)
</t>
  </si>
  <si>
    <t xml:space="preserve">Ремонт автомобильных дорог в д. Ярославка (ул. Ленина (от жилого дома № 16 до жилого дома № 24); ул. Ленина (от автомобильной дороги "Подъезд к д. Ярославка до жилого дома № 6)
</t>
  </si>
  <si>
    <t>Ремонт автомобильных дорог в с. Кабырдак (ул. Аптечная от перекрестка с ул. Ленина, 41 до перекрестка с ул. Береговой,4)</t>
  </si>
  <si>
    <t xml:space="preserve">Ремонт автомобильных дорог в с. Нагибино (ул. Юбилейная (от дома № 15/1 до дома № 37/2)
</t>
  </si>
  <si>
    <t>Ремонт автомобильных дорог в с. Новый Кошкуль (ул. Ленина от д. № 18а до д. № 33/1)</t>
  </si>
  <si>
    <t xml:space="preserve">Ремонт автомобильных дорог в с. Троицк (ул. Центральная (от дома № 10 до дома № 28)
</t>
  </si>
  <si>
    <t>Ремонт автомобильных дорог в с. Усть-Ишим (ул. Советская)</t>
  </si>
  <si>
    <t>Ремонт автомобильных дорог в с. Большой Атмас (от федеральной дороги М-38 Омск – Черлак – граница с Республикой Казахстан до с. Большой Атмас ул. 60 лет ВЛКСМ)</t>
  </si>
  <si>
    <t>Ремонт автомобильных дорог в с. Соляное (ул. Садовая (участок от дома № 3 до ул. Октябрьская, д. 143А))</t>
  </si>
  <si>
    <t>Ремонт автомобильных дорог в с. Татарка (ул. Центральная)</t>
  </si>
  <si>
    <t xml:space="preserve">Ремонт автомобильных дорог в с. Южно-Подольск (ул. Победы (от дома № 1 до дома № 35)
</t>
  </si>
  <si>
    <t>Ремонт автомобильных дорог в 
с. Александровское (ул. Советская от пересечения улиц Ленина - Советская до дома № 26 по ул. Советская, ул. Ленина от пересечения улиц Ленина – Советская до дома № 72 по ул. Ленина)</t>
  </si>
  <si>
    <t>Ремонт автомобильных дорог в с. Бабеж (ул. Лесная, от дома № 15 до ул. Молодежная)</t>
  </si>
  <si>
    <t xml:space="preserve">Ремонт автомобильных дорог в с. Изюмовка (ул. Школьная, от ул. Труда до ул. Советская)
</t>
  </si>
  <si>
    <t>Минпром (метромост)</t>
  </si>
  <si>
    <t>Минфин</t>
  </si>
  <si>
    <t xml:space="preserve">Минтруд </t>
  </si>
  <si>
    <t>Азовский ННМР</t>
  </si>
  <si>
    <t>Автомобильная дорога, ул. Восточная, ул. Казанская, 
ул. Центральная, дер. Круч</t>
  </si>
  <si>
    <t>Исилькульский муниципальный район</t>
  </si>
  <si>
    <t>Автомобильная дорога "Баррикада – Ксеньевка" – Васютино</t>
  </si>
  <si>
    <t>Автомобильная дорога Маломогильное – Большаковка</t>
  </si>
  <si>
    <t>Автомобильная дорога Пролетарский – Балашовка – Борятино</t>
  </si>
  <si>
    <t>Автомобильная дорога Щучье – Голубки</t>
  </si>
  <si>
    <t>Тевризский муниципальный район</t>
  </si>
  <si>
    <t>Автомобильная дорога от дер. Утузы до с. Кузнецово</t>
  </si>
  <si>
    <t>Усть-Ишимский муниципальный айон</t>
  </si>
  <si>
    <t>Автомобильная дорога, ул. Клубная, пос. Скородум</t>
  </si>
  <si>
    <t>1.17</t>
  </si>
  <si>
    <t>1.18</t>
  </si>
  <si>
    <t>1.19</t>
  </si>
  <si>
    <t>1.20</t>
  </si>
  <si>
    <t>1.21</t>
  </si>
  <si>
    <t>1.22</t>
  </si>
  <si>
    <t>1.23</t>
  </si>
  <si>
    <t xml:space="preserve">ВСЕГО </t>
  </si>
  <si>
    <t>УДХ</t>
  </si>
  <si>
    <t>ИТОГО</t>
  </si>
  <si>
    <t>1. Распоряжение Правительства Российской Федерации Распоряжение Правительства РФ от 07.02.2017 № 208-р</t>
  </si>
  <si>
    <t>Выдано разрешений-248;                                           Выдано согласований-5273 шт;                               Государственная пошлина на выдачу специальных разрешений 396,8 тыс.руб.,   Компенсация ущерба с владельцев ТС- 10740,201 тыс.руб.,                                                                        Выдано предписаний 111 шт,                                     Выдано согласований на опасные грузы 84шт.                                                                              Содержание автомобильных дорог общего пользования регионального и межмуниципального значения-10 196,58км                                                                            Ямочный ремонт 196,2 тыс.м2.                                                 Нанесение горизонтальной дорожной разметки на а.д. регионального и межмуниципального значения 1831,2 км.                                                   Заливка трещин 18406 пог.м. Готовность паромных переправ (9 шт в 6 районах).</t>
  </si>
  <si>
    <t>Подрядчик: ООО "Византия"                                                  Гос. контракт от 27.03.2017 - 3 774 300,0</t>
  </si>
  <si>
    <t>Подрядчик: АРТ РемСтрой                                                     Гос. контракт от 16.05.2017 - 9 296 498,80</t>
  </si>
  <si>
    <t>Подрядчик: АО" ДРСУ 5"                                     Гос. контракт от 29.05.2017 - 12 440 508,72</t>
  </si>
  <si>
    <t>Подрядчик: ООО "Эксперт Строй"                                                         ГК от 04.05.2017 - 35 032 643,59</t>
  </si>
  <si>
    <t>Подрядчик: ГП Большереченское ДРСУ                                          ГК от 28.04.2017 - 51 000 000</t>
  </si>
  <si>
    <t xml:space="preserve">Подрядчик: АО ДРСУ 6                                                ГК от 25.04.2017 - 63 000 000 </t>
  </si>
  <si>
    <t xml:space="preserve">Подрядчик: АО Омскавтодор                                             ГК от 10.05.2017 - 127 083 600 </t>
  </si>
  <si>
    <t>Подрядчик: АО Омскавтодор                                             ГК от 10.05.2017 - 163 811 010</t>
  </si>
  <si>
    <t>Подрядчик: ООО СПК Дорстрой                                                              ГК от 10.05.2017 - 90 155 612,25</t>
  </si>
  <si>
    <t>Подрядчик: ООО "Перспектива"                                                    ГК от 10.05.2017 - 20 808 384,4</t>
  </si>
  <si>
    <t>Подрядчик: ООО "Сиброс"                                        ГК в стадии заключения - 50 282 400,0</t>
  </si>
  <si>
    <t>Подрядчик: ООО "СтройТраст"                                               ГК от 29.05.2017 - 212 000 000,0</t>
  </si>
  <si>
    <t>Подрядчик: АО ДРСУ 6                                                     ГК от 29.05.2017- 147 432 531,45</t>
  </si>
  <si>
    <t>Ведутся работы по переходящим контрактам</t>
  </si>
  <si>
    <t>Заключено 6 контрактов</t>
  </si>
  <si>
    <t>Заключено 3 ГК.                                                        3 ГК в стадии формирования, заключение 05.06.17</t>
  </si>
  <si>
    <t>Подрядчик: АО ДРСУ 5                                                             Отсыпка грунта. Устройство зем. полотна 100%. Армирование для объединения в единую неразрезную систему, устройство опалубки (17.05.2017 в Усть-Ишимском муниципальном районе введен режим ЧС. Работы остановлены до снятия режима ЧС. Проезд на объект строительства невозможен)</t>
  </si>
  <si>
    <t>Подрядчик: АО ДРСУ 5                                                                      Забивка свай 100%. Вырубка леса 100%. Устройство зем. полотна 80%. Устройство насадок 100%. Устройство ростверков 100%. Устройство подферменников 100%. Монтаж балок 15 шт, монтаж рочей 42 шт., армирование в единую неразрывную систему, устройство опалубки, монтаж шкафных стенок. Устройство подкрылков 100%.  (17.05.2017 в Усть-Ишимском муниципальном районе введен режим ЧС. Работы остановлены до снятия режима ЧС. Проезд на объект строительства невозможен)</t>
  </si>
  <si>
    <t>Подрядчик: АО ДРСУ 5                                                          Отсыпка конуса у опоры №1,4 -100%. Устройство габионных конструкций опора № 1,4 -85%.  Монтаж балок пролетных строений и РОЧ 100%. Устройство подходов, зем.полотно 80%. Объединение в единую неразрезную систему 100% .  Монтаж блоков открылка 100%. Монтаж шкафных стенок 100%. Устройство единой неразрезной системы 100%, устройство барьерного ограждения 100%, устройство блоков лежня 100%. Устройство переходных плит 100%.  (17.05.2017 в Усть-Ишимском муниципальном районе введен режим ЧС. Работы остановлены до снятия режима ЧС. Проезд на объект строительства невозможен)</t>
  </si>
  <si>
    <t>Подрядчик: ООО "Профи плюс"                                                       Опоры 100%. Пролетные строения 100%. Переходные плиты 100%. Зем полотно 80%. Укрепление конусов 100%. Барьерное ограждение 100%. Омоналичивание балок 100%.  (17.05.2017 в Усть-Ишимском муниципальном районе введен режим ЧС. Работы остановлены до снятия режима ЧС. Проезд на объект строительства невозможен)</t>
  </si>
  <si>
    <t>Подрядчик: "ТрансПроект"                                             ГК в стадии заключения - 5000000,0</t>
  </si>
  <si>
    <t>Подрядчик: ООО «Автодорпроект»                                            ГК в стадии заключения - 498 000,0</t>
  </si>
  <si>
    <t>Подрядчик: ООО "Проектный институт "Омскдорпроект"                                                        ГК от 05.05.2017 - 8 000 000,0</t>
  </si>
  <si>
    <t>Дата рассмотрения и оценки заявок на участие в конкурсе 25.05.2017</t>
  </si>
  <si>
    <t>Подрядчик: ООО  "Автодорпроект"                                     ГК от 10.05.2017 - 2 949 000,0</t>
  </si>
  <si>
    <t>Подрядчик: ООО "Проектный институт "Омскдорпроект"                                                                 ГК от 31.05.2017 - 4 050 000,0</t>
  </si>
  <si>
    <t>Подрядчик: ООО "АРТ РемСтрой"                                               ГК заключен 17.05.2017 -131 130 579,31</t>
  </si>
  <si>
    <t>Подрядчик: АО "Омскавтодор"                                                                                     Формирование ГК - 44 459 109,91</t>
  </si>
  <si>
    <t>Подрядчик: АО "Омскавтодор"                                                                                     Формирование ГК - 42 149 686,19</t>
  </si>
  <si>
    <t>Подрядчик: ООО 'Управление транспорта и строительства'                                       Формирование ГК - 20 174 725,47</t>
  </si>
  <si>
    <t>Подрядчик: АО "Омскавтодор"                                                                                     Формирование ГК - 9 986 516,49</t>
  </si>
  <si>
    <t>Подрядчик: АО "ДРСУ 6"                                                                                     Формирование ГК - 38 231 745,84</t>
  </si>
  <si>
    <t>Подрядчик: АО "Омскавтодор"                                                                                     Формирование ГК - 14 724 506,75</t>
  </si>
  <si>
    <t>Подрядчик: АО "Омскавтодор"                                                                                     Формирование ГК - 21 011 855,34</t>
  </si>
  <si>
    <t>Подрядчик: АО "ДРСУ 6"                                                                                     Формирование ГК - 90 192 332,20</t>
  </si>
  <si>
    <t xml:space="preserve">Подрядчик: ООО  "Транспроект"                                            ГК от 10.05.2017 - 3 000 000,0    </t>
  </si>
  <si>
    <t>Подрядчик:ООО  "Автодорпроект"                                        ГК от 10.05.2017 - 2 500 000,0</t>
  </si>
  <si>
    <t xml:space="preserve">Подрядчик:  ООО "Национальный земельный фонд" </t>
  </si>
  <si>
    <t>Подрядчик: АО "ДРСУ 2"                                                ГК от 22.05.2017- 297 736,0</t>
  </si>
  <si>
    <t>Подрядчик: АО "ДРСУ 2"                                                ГК от 29.05.2017- 1 062 756,0</t>
  </si>
  <si>
    <t>Подрядчик: ГП "Щербакульское ДРСУ"                                               Формирование  ГК - 4 775 699,31</t>
  </si>
  <si>
    <t>Подрядчик: АО "ДРСУ 5"                                            Формирование  ГК - 3 001 336,24</t>
  </si>
  <si>
    <t>Подрядчик: ГП "Седельниковское ДРСУ"                                               Формирование  ГК - 5 172 288,13</t>
  </si>
  <si>
    <t>Формирование  ГК - 2 872 506,29</t>
  </si>
  <si>
    <t>Размещено повторно</t>
  </si>
  <si>
    <t xml:space="preserve">ГП "Омская проектная контора" </t>
  </si>
  <si>
    <t>ООО Автодорпроект</t>
  </si>
  <si>
    <t xml:space="preserve">ООО ПИ  "Омскдорпроект" </t>
  </si>
  <si>
    <t xml:space="preserve">ООО  "Автодорпроект"  </t>
  </si>
  <si>
    <t>Контракт заключен, подрядчик-ООО "Стройсервис"</t>
  </si>
  <si>
    <t>Контракт заключен, подрядчик-ООО "Перспектива"</t>
  </si>
  <si>
    <t>Контракт заключен, подрядчик-ООО "ГРИАР Холдинг"</t>
  </si>
  <si>
    <t>Контракт заключен, подрядчик-ООО "СФ Континент"</t>
  </si>
  <si>
    <t>Контракт заключен, подрядчик-ООО "Стройтраст"</t>
  </si>
  <si>
    <t>Контракт заключен, подрядчик-АО "ДРСУ № 2"</t>
  </si>
  <si>
    <t>Контракт заключен, подрядчик-ООО "СПК "ДорСтрой"</t>
  </si>
  <si>
    <t xml:space="preserve">по плану дорожных работ на 2017 год </t>
  </si>
  <si>
    <t>1.24</t>
  </si>
  <si>
    <t>1.25</t>
  </si>
  <si>
    <t>1.26</t>
  </si>
  <si>
    <t>1.27</t>
  </si>
  <si>
    <t>1.28</t>
  </si>
  <si>
    <t>2.4</t>
  </si>
  <si>
    <t>2.5</t>
  </si>
  <si>
    <t>2.6</t>
  </si>
  <si>
    <t>2.7</t>
  </si>
  <si>
    <t>2.8</t>
  </si>
  <si>
    <t>3.1.1</t>
  </si>
  <si>
    <t>3.1.2</t>
  </si>
  <si>
    <t>3.1.3</t>
  </si>
  <si>
    <t>3.1.4</t>
  </si>
  <si>
    <t>3.1.5</t>
  </si>
  <si>
    <t>3.1.6</t>
  </si>
  <si>
    <t xml:space="preserve"> 3.1.7</t>
  </si>
  <si>
    <t xml:space="preserve"> 3.1.8</t>
  </si>
  <si>
    <t xml:space="preserve"> 3.1.9</t>
  </si>
  <si>
    <t xml:space="preserve"> 3.1.10</t>
  </si>
  <si>
    <t>3.1.11</t>
  </si>
  <si>
    <t>3.2.1</t>
  </si>
  <si>
    <t>3.2.2</t>
  </si>
  <si>
    <t xml:space="preserve"> 3.2.3</t>
  </si>
  <si>
    <t>3.2.4</t>
  </si>
  <si>
    <t xml:space="preserve"> 4.1.1</t>
  </si>
  <si>
    <t xml:space="preserve"> 4.1.2</t>
  </si>
  <si>
    <t xml:space="preserve"> 4.1.3</t>
  </si>
  <si>
    <t>5.1</t>
  </si>
  <si>
    <t>5.2</t>
  </si>
  <si>
    <t>5.3</t>
  </si>
  <si>
    <t>5.4</t>
  </si>
  <si>
    <t>5.5</t>
  </si>
  <si>
    <t>5.6</t>
  </si>
  <si>
    <t>5.7</t>
  </si>
  <si>
    <t>Ремонт автомобильных дорог</t>
  </si>
  <si>
    <t>2.3</t>
  </si>
  <si>
    <t>Иные межбюджетные трансферты  из федерального бюджета бюджету Омской области на финансовое обеспечение дорожной деятельности в рамках основного мероприятия "Приоритетный проект "Безопасные и качественные дороги" гос. программы РФ "Развитие транспортной системы"</t>
  </si>
  <si>
    <t>1. Автомобильные дороги регионального и межмуниципального значения Омской области</t>
  </si>
  <si>
    <t>Строительство и реконструкция автомобильных дорог общего пользования регионального и межмуниципального значения и сооружений, а также расходы, связанные со строительством и реконструкцией автомобильных дорог и сооружений</t>
  </si>
  <si>
    <t>1.29</t>
  </si>
  <si>
    <t>1.30</t>
  </si>
  <si>
    <t>1.31</t>
  </si>
  <si>
    <t>1.32</t>
  </si>
  <si>
    <t>1.33</t>
  </si>
  <si>
    <t>1.34</t>
  </si>
  <si>
    <t>1.35</t>
  </si>
  <si>
    <t>1.36</t>
  </si>
  <si>
    <t>1.37</t>
  </si>
  <si>
    <t>1.38</t>
  </si>
  <si>
    <t>1.39</t>
  </si>
  <si>
    <t>1.40</t>
  </si>
  <si>
    <t>1.41</t>
  </si>
  <si>
    <t>1.42</t>
  </si>
  <si>
    <t>1.43</t>
  </si>
  <si>
    <t>1.44</t>
  </si>
  <si>
    <t>1.45</t>
  </si>
  <si>
    <t>1.46</t>
  </si>
  <si>
    <t>1.47</t>
  </si>
  <si>
    <t>1.48</t>
  </si>
  <si>
    <t>2.9</t>
  </si>
  <si>
    <t>2.10</t>
  </si>
  <si>
    <t>2.11</t>
  </si>
  <si>
    <t>2.12</t>
  </si>
  <si>
    <t>2.13</t>
  </si>
  <si>
    <t>2.14</t>
  </si>
  <si>
    <t>2.15</t>
  </si>
  <si>
    <t>2.16</t>
  </si>
  <si>
    <t>2.17</t>
  </si>
  <si>
    <t>2.18</t>
  </si>
  <si>
    <t>2.19</t>
  </si>
  <si>
    <t>2.20</t>
  </si>
  <si>
    <t>2.21</t>
  </si>
  <si>
    <t>2. Автомобильные дороги местного значения Омской области</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</si>
  <si>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</si>
  <si>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</si>
  <si>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</si>
  <si>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</si>
  <si>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</si>
  <si>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</si>
  <si>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</si>
  <si>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</si>
  <si>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</si>
  <si>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</si>
  <si>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</si>
  <si>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</si>
  <si>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</si>
  <si>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</si>
  <si>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</si>
  <si>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</si>
  <si>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</si>
  <si>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</si>
  <si>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</si>
  <si>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</si>
  <si>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</si>
  <si>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</si>
  <si>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</si>
  <si>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</si>
  <si>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</si>
  <si>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</si>
  <si>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</si>
  <si>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</si>
  <si>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</si>
  <si>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</si>
  <si>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</si>
  <si>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</si>
  <si>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</si>
  <si>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</si>
  <si>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</si>
  <si>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</si>
  <si>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</si>
  <si>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</si>
  <si>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</si>
  <si>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</si>
  <si>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</si>
  <si>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</si>
  <si>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</si>
  <si>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</si>
  <si>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</si>
  <si>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</si>
  <si>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</si>
  <si>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</si>
  <si>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</si>
  <si>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</si>
  <si>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</si>
  <si>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</si>
  <si>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</si>
  <si>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</si>
  <si>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</si>
  <si>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</si>
  <si>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</si>
  <si>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</si>
  <si>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</si>
  <si>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</si>
  <si>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</si>
  <si>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</si>
  <si>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</si>
  <si>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</si>
  <si>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</si>
  <si>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</si>
  <si>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</si>
  <si>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</si>
  <si>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</si>
  <si>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</si>
  <si>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</si>
  <si>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</si>
  <si>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</si>
  <si>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</si>
  <si>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</si>
  <si>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</si>
  <si>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</si>
  <si>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</si>
  <si>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</si>
  <si>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</si>
  <si>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</si>
  <si>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</si>
  <si>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</si>
  <si>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</si>
  <si>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</si>
  <si>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</si>
  <si>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</si>
  <si>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</si>
  <si>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</si>
  <si>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</si>
  <si>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</si>
  <si>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</si>
  <si>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</si>
  <si>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</si>
  <si>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</si>
  <si>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</si>
  <si>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</si>
  <si>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</si>
  <si>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</si>
  <si>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</si>
  <si>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</si>
  <si>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</si>
  <si>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</si>
  <si>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</si>
  <si>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</si>
  <si>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</si>
  <si>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</si>
  <si>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</si>
  <si>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</si>
  <si>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</si>
  <si>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</si>
  <si>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</si>
  <si>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</si>
  <si>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</si>
  <si>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</si>
  <si>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</si>
  <si>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</si>
  <si>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</si>
  <si>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</si>
  <si>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</si>
  <si>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</si>
  <si>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</si>
  <si>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</si>
  <si>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</si>
  <si>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</si>
  <si>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</si>
  <si>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</si>
  <si>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</si>
  <si>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</si>
  <si>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</si>
  <si>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</si>
  <si>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</si>
  <si>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</si>
  <si>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</si>
  <si>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</si>
  <si>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</si>
  <si>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</si>
  <si>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</si>
  <si>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</si>
  <si>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</si>
  <si>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</si>
  <si>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</si>
  <si>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</si>
  <si>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</si>
  <si>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</si>
  <si>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</si>
  <si>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</si>
  <si>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</si>
  <si>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</si>
  <si>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</si>
  <si>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</si>
  <si>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</si>
  <si>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</si>
  <si>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</si>
  <si>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</si>
  <si>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</si>
  <si>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</si>
  <si>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</si>
  <si>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 xml:space="preserve">Субсидии местными бюджетам на капитальный ремонт, ремонт и автомобильных дорог общего пользования </t>
  </si>
  <si>
    <t>Капитальный ремонт и ремонт автомобильных дорог регионального и межмуниципального значения и сооружений на них</t>
  </si>
  <si>
    <t>Содержание автомобильных дорог и сооружений на дорогах регионального и межмуниципального значения осуществляется в соответствии с перечнем автомобильных дорог, утвержденным рапоряжением Правительства Омской области от 26.03.2008 38-рп</t>
  </si>
  <si>
    <t>Ремонт автомобильных дорог в городе Омске</t>
  </si>
  <si>
    <t>Ремонт автомобильных дорог в с. Александровское (ул. Советская от пересечения улиц Ленина - Советская до дома № 26 по ул. Советская, ул. Ленина от пересечения улиц Ленина – Советская до дома № 72 по ул. Ленина)</t>
  </si>
  <si>
    <t>Субсидии местным бюджетам на содержание автомобильных дорог общего пользования</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</si>
</sst>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 numFmtId="173" formatCode="00\.00"/>
    <numFmt numFmtId="174" formatCode="000\.00\.00"/>
    <numFmt numFmtId="175" formatCode="000"/>
    <numFmt numFmtId="176" formatCode="#,##0.00;[Red]\-#,##0.00;0.00"/>
    <numFmt numFmtId="177" formatCode="#,##0.00_ ;[Red]\-#,##0.00\ "/>
    <numFmt numFmtId="178" formatCode="#,##0.000"/>
    <numFmt numFmtId="179" formatCode="#,##0.0"/>
    <numFmt numFmtId="180" formatCode="#,##0.0_р_.;[Red]\-#,##0.0_р_."/>
    <numFmt numFmtId="181" formatCode="#,##0.000_р_.;[Red]\-#,##0.000_р_."/>
    <numFmt numFmtId="182" formatCode="#,##0.0000_р_.;[Red]\-#,##0.0000_р_."/>
    <numFmt numFmtId="183" formatCode="#,##0.00000_р_.;[Red]\-#,##0.00000_р_."/>
    <numFmt numFmtId="184" formatCode="#,##0.000000_р_.;[Red]\-#,##0.000000_р_."/>
    <numFmt numFmtId="185" formatCode="#,##0.0000000_р_.;[Red]\-#,##0.0000000_р_."/>
    <numFmt numFmtId="186" formatCode="#,##0.00000000_р_.;[Red]\-#,##0.00000000_р_."/>
    <numFmt numFmtId="187" formatCode="#,##0.000000000_р_.;[Red]\-#,##0.000000000_р_."/>
    <numFmt numFmtId="188" formatCode="#,##0.0000000000_р_.;[Red]\-#,##0.0000000000_р_."/>
    <numFmt numFmtId="189" formatCode="#,##0.00000000000_р_.;[Red]\-#,##0.00000000000_р_."/>
    <numFmt numFmtId="190" formatCode="#,##0.000000000000_р_.;[Red]\-#,##0.000000000000_р_."/>
    <numFmt numFmtId="191" formatCode="#,##0.0000000000000_р_.;[Red]\-#,##0.0000000000000_р_."/>
    <numFmt numFmtId="192" formatCode="#,##0.00000000000000_р_.;[Red]\-#,##0.00000000000000_р_."/>
    <numFmt numFmtId="193" formatCode="00"/>
    <numFmt numFmtId="194" formatCode="[$-FC19]d\ mmmm\ yyyy\ &quot;г.&quot;"/>
    <numFmt numFmtId="195" formatCode="&quot;Да&quot;;&quot;Да&quot;;&quot;Нет&quot;"/>
    <numFmt numFmtId="196" formatCode="&quot;Истина&quot;;&quot;Истина&quot;;&quot;Ложь&quot;"/>
    <numFmt numFmtId="197" formatCode="&quot;Вкл&quot;;&quot;Вкл&quot;;&quot;Выкл&quot;"/>
    <numFmt numFmtId="198" formatCode="[$€-2]\ ###,000_);[Red]\([$€-2]\ ###,000\)"/>
    <numFmt numFmtId="199" formatCode="#,##0.0000"/>
    <numFmt numFmtId="200" formatCode="0.000"/>
    <numFmt numFmtId="201" formatCode="#,##0.00000"/>
    <numFmt numFmtId="202" formatCode="#,##0.00_р_."/>
  </numFmts>
  <fonts count="66">
    <font>
      <sz val="11"/>
      <color theme="1"/>
      <name val="Calibri"/>
      <family val="2"/>
    </font>
    <font>
      <sz val="11"/>
      <color indexed="8"/>
      <name val="Calibri"/>
      <family val="2"/>
    </font>
    <font>
      <sz val="10"/>
      <name val="Arial"/>
      <family val="2"/>
    </font>
    <font>
      <sz val="12"/>
      <name val="Times New Roman"/>
      <family val="1"/>
    </font>
    <font>
      <sz val="12"/>
      <color indexed="8"/>
      <name val="Calibri"/>
      <family val="2"/>
    </font>
    <font>
      <b/>
      <sz val="12"/>
      <name val="Times New Roman"/>
      <family val="1"/>
    </font>
    <font>
      <sz val="14"/>
      <name val="Times New Roman"/>
      <family val="1"/>
    </font>
    <font>
      <b/>
      <sz val="12"/>
      <color indexed="8"/>
      <name val="Calibri"/>
      <family val="2"/>
    </font>
    <font>
      <b/>
      <sz val="14"/>
      <name val="Times New Roman"/>
      <family val="1"/>
    </font>
    <font>
      <sz val="14"/>
      <color indexed="8"/>
      <name val="Calibri"/>
      <family val="2"/>
    </font>
    <font>
      <sz val="11"/>
      <name val="Times New Roman"/>
      <family val="1"/>
    </font>
    <font>
      <sz val="11"/>
      <color indexed="8"/>
      <name val="Times New Roman"/>
      <family val="1"/>
    </font>
    <font>
      <b/>
      <sz val="11"/>
      <name val="Times New Roman"/>
      <family val="1"/>
    </font>
    <font>
      <b/>
      <sz val="11"/>
      <color indexed="8"/>
      <name val="Times New Roman"/>
      <family val="1"/>
    </font>
    <font>
      <sz val="12"/>
      <color indexed="8"/>
      <name val="Times New Roman"/>
      <family val="1"/>
    </font>
    <font>
      <sz val="11"/>
      <color indexed="10"/>
      <name val="Times New Roman"/>
      <family val="1"/>
    </font>
    <font>
      <b/>
      <i/>
      <sz val="11"/>
      <name val="Times New Roman"/>
      <family val="1"/>
    </font>
    <font>
      <b/>
      <i/>
      <sz val="11"/>
      <color indexed="8"/>
      <name val="Times New Roman"/>
      <family val="1"/>
    </font>
    <font>
      <sz val="11"/>
      <name val="Times New Roman Cyr"/>
      <family val="1"/>
    </font>
    <font>
      <sz val="11"/>
      <name val="Times New Roman CYR"/>
      <family val="0"/>
    </font>
    <font>
      <b/>
      <sz val="10"/>
      <name val="Times New Roman"/>
      <family val="1"/>
    </font>
    <font>
      <i/>
      <sz val="11"/>
      <color indexed="8"/>
      <name val="Times New Roman"/>
      <family val="1"/>
    </font>
    <font>
      <sz val="10"/>
      <name val="Times New Roman"/>
      <family val="1"/>
    </font>
    <font>
      <b/>
      <sz val="11"/>
      <color indexed="10"/>
      <name val="Times New Roman"/>
      <family val="1"/>
    </font>
    <font>
      <sz val="14"/>
      <color indexed="8"/>
      <name val="Times New Roman"/>
      <family val="1"/>
    </font>
    <font>
      <b/>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b/>
      <sz val="11"/>
      <color rgb="FFFF0000"/>
      <name val="Times New Roman"/>
      <family val="1"/>
    </font>
    <font>
      <sz val="12"/>
      <color theme="1"/>
      <name val="Times New Roman"/>
      <family val="1"/>
    </font>
    <font>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
      <patternFill patternType="solid">
        <fgColor theme="3" tint="0.599990010261535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style="medium"/>
      <right style="thin"/>
      <top style="medium"/>
      <bottom style="thin"/>
    </border>
    <border>
      <left style="medium"/>
      <right style="thin"/>
      <top style="thin"/>
      <bottom>
        <color indexed="63"/>
      </bottom>
    </border>
    <border>
      <left>
        <color indexed="63"/>
      </left>
      <right style="thin"/>
      <top style="thin"/>
      <bottom style="thin"/>
    </border>
    <border>
      <left style="thin"/>
      <right style="medium"/>
      <top style="thin"/>
      <bottom style="thin"/>
    </border>
    <border>
      <left style="thin"/>
      <right style="thin"/>
      <top style="medium"/>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style="thin"/>
      <right style="medium"/>
      <top style="thin"/>
      <bottom>
        <color indexed="63"/>
      </bottom>
    </border>
    <border>
      <left style="thin"/>
      <right style="medium"/>
      <top style="medium"/>
      <bottom style="thin"/>
    </border>
    <border>
      <left style="thin"/>
      <right style="medium"/>
      <top style="thin"/>
      <bottom style="medium"/>
    </border>
    <border>
      <left style="thin"/>
      <right>
        <color indexed="63"/>
      </right>
      <top style="medium"/>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2" fillId="0" borderId="0">
      <alignment/>
      <protection/>
    </xf>
    <xf numFmtId="0" fontId="2" fillId="0" borderId="0">
      <alignment/>
      <protection/>
    </xf>
    <xf numFmtId="0" fontId="6" fillId="0" borderId="0">
      <alignment/>
      <protection/>
    </xf>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1" fillId="32" borderId="0" applyNumberFormat="0" applyBorder="0" applyAlignment="0" applyProtection="0"/>
  </cellStyleXfs>
  <cellXfs count="629">
    <xf numFmtId="0" fontId="0" fillId="0" borderId="0" xfId="0" applyFont="1" applyAlignment="1">
      <alignment/>
    </xf>
    <xf numFmtId="0" fontId="4" fillId="0" borderId="0" xfId="0" applyFont="1" applyAlignment="1">
      <alignment/>
    </xf>
    <xf numFmtId="0" fontId="3" fillId="0" borderId="0" xfId="53" applyFont="1" applyProtection="1">
      <alignment/>
      <protection hidden="1"/>
    </xf>
    <xf numFmtId="0" fontId="5" fillId="0" borderId="10" xfId="53" applyNumberFormat="1" applyFont="1" applyFill="1" applyBorder="1" applyAlignment="1" applyProtection="1">
      <alignment horizontal="center" vertical="center" wrapText="1"/>
      <protection hidden="1"/>
    </xf>
    <xf numFmtId="0" fontId="4" fillId="0" borderId="10" xfId="0" applyFont="1" applyBorder="1" applyAlignment="1">
      <alignment/>
    </xf>
    <xf numFmtId="172" fontId="3" fillId="0" borderId="10" xfId="53" applyNumberFormat="1" applyFont="1" applyFill="1" applyBorder="1" applyAlignment="1" applyProtection="1">
      <alignment horizontal="left" vertical="top" wrapText="1"/>
      <protection hidden="1"/>
    </xf>
    <xf numFmtId="172" fontId="3" fillId="0" borderId="11" xfId="53" applyNumberFormat="1" applyFont="1" applyFill="1" applyBorder="1" applyAlignment="1" applyProtection="1">
      <alignment horizontal="left" vertical="top" wrapText="1"/>
      <protection hidden="1"/>
    </xf>
    <xf numFmtId="172" fontId="3" fillId="0" borderId="12" xfId="53" applyNumberFormat="1" applyFont="1" applyFill="1" applyBorder="1" applyAlignment="1" applyProtection="1">
      <alignment horizontal="left" vertical="top" wrapText="1"/>
      <protection hidden="1"/>
    </xf>
    <xf numFmtId="172" fontId="3" fillId="0" borderId="13" xfId="53" applyNumberFormat="1" applyFont="1" applyFill="1" applyBorder="1" applyAlignment="1" applyProtection="1">
      <alignment horizontal="left" vertical="top" wrapText="1"/>
      <protection hidden="1"/>
    </xf>
    <xf numFmtId="172" fontId="3" fillId="0" borderId="14" xfId="53" applyNumberFormat="1" applyFont="1" applyFill="1" applyBorder="1" applyAlignment="1" applyProtection="1">
      <alignment horizontal="left" vertical="top" wrapText="1"/>
      <protection hidden="1"/>
    </xf>
    <xf numFmtId="0" fontId="4" fillId="0" borderId="0" xfId="0" applyFont="1" applyBorder="1" applyAlignment="1">
      <alignment/>
    </xf>
    <xf numFmtId="0" fontId="4" fillId="33" borderId="0" xfId="0" applyFont="1" applyFill="1" applyAlignment="1">
      <alignment/>
    </xf>
    <xf numFmtId="0" fontId="4" fillId="0" borderId="15" xfId="0" applyFont="1" applyBorder="1" applyAlignment="1">
      <alignment/>
    </xf>
    <xf numFmtId="0" fontId="5" fillId="0" borderId="16" xfId="53" applyNumberFormat="1" applyFont="1" applyFill="1" applyBorder="1" applyAlignment="1" applyProtection="1">
      <alignment horizontal="left" vertical="center" wrapText="1"/>
      <protection hidden="1"/>
    </xf>
    <xf numFmtId="177" fontId="4" fillId="0" borderId="0" xfId="0" applyNumberFormat="1" applyFont="1" applyBorder="1" applyAlignment="1">
      <alignment/>
    </xf>
    <xf numFmtId="0" fontId="8" fillId="33" borderId="11" xfId="53" applyNumberFormat="1" applyFont="1" applyFill="1" applyBorder="1" applyAlignment="1" applyProtection="1">
      <alignment horizontal="center" vertical="center" wrapText="1"/>
      <protection hidden="1"/>
    </xf>
    <xf numFmtId="0" fontId="9" fillId="33" borderId="0" xfId="0" applyFont="1" applyFill="1" applyAlignment="1">
      <alignment/>
    </xf>
    <xf numFmtId="177" fontId="8" fillId="33" borderId="0" xfId="0" applyNumberFormat="1" applyFont="1" applyFill="1" applyAlignment="1">
      <alignment/>
    </xf>
    <xf numFmtId="172" fontId="3" fillId="0" borderId="17" xfId="53" applyNumberFormat="1" applyFont="1" applyFill="1" applyBorder="1" applyAlignment="1" applyProtection="1">
      <alignment horizontal="left" vertical="top" wrapText="1"/>
      <protection hidden="1"/>
    </xf>
    <xf numFmtId="172" fontId="5" fillId="33" borderId="10" xfId="53" applyNumberFormat="1" applyFont="1" applyFill="1" applyBorder="1" applyAlignment="1" applyProtection="1">
      <alignment horizontal="center" vertical="center" wrapText="1"/>
      <protection hidden="1"/>
    </xf>
    <xf numFmtId="172" fontId="5" fillId="0" borderId="10" xfId="53" applyNumberFormat="1" applyFont="1" applyFill="1" applyBorder="1" applyAlignment="1" applyProtection="1">
      <alignment horizontal="left" vertical="top" wrapText="1"/>
      <protection hidden="1"/>
    </xf>
    <xf numFmtId="4" fontId="4" fillId="0" borderId="10" xfId="0" applyNumberFormat="1" applyFont="1" applyBorder="1" applyAlignment="1">
      <alignment/>
    </xf>
    <xf numFmtId="4" fontId="7" fillId="0" borderId="10" xfId="0" applyNumberFormat="1" applyFont="1" applyBorder="1" applyAlignment="1">
      <alignment/>
    </xf>
    <xf numFmtId="4" fontId="7" fillId="0" borderId="18" xfId="0" applyNumberFormat="1" applyFont="1" applyBorder="1" applyAlignment="1">
      <alignment/>
    </xf>
    <xf numFmtId="4" fontId="4" fillId="0" borderId="18" xfId="0" applyNumberFormat="1" applyFont="1" applyBorder="1" applyAlignment="1">
      <alignment/>
    </xf>
    <xf numFmtId="4" fontId="7" fillId="0" borderId="19" xfId="0" applyNumberFormat="1" applyFont="1" applyBorder="1" applyAlignment="1">
      <alignment/>
    </xf>
    <xf numFmtId="4" fontId="4" fillId="0" borderId="19" xfId="0" applyNumberFormat="1" applyFont="1" applyBorder="1" applyAlignment="1">
      <alignment/>
    </xf>
    <xf numFmtId="172" fontId="5" fillId="0" borderId="16" xfId="53" applyNumberFormat="1" applyFont="1" applyFill="1" applyBorder="1" applyAlignment="1" applyProtection="1">
      <alignment vertical="top" wrapText="1"/>
      <protection hidden="1"/>
    </xf>
    <xf numFmtId="172" fontId="5" fillId="0" borderId="16" xfId="53" applyNumberFormat="1" applyFont="1" applyFill="1" applyBorder="1" applyAlignment="1" applyProtection="1">
      <alignment horizontal="left" vertical="top" wrapText="1"/>
      <protection hidden="1"/>
    </xf>
    <xf numFmtId="172" fontId="5" fillId="0" borderId="13" xfId="53" applyNumberFormat="1" applyFont="1" applyFill="1" applyBorder="1" applyAlignment="1" applyProtection="1">
      <alignment horizontal="left" vertical="top" wrapText="1"/>
      <protection hidden="1"/>
    </xf>
    <xf numFmtId="172" fontId="5" fillId="0" borderId="17" xfId="53" applyNumberFormat="1" applyFont="1" applyFill="1" applyBorder="1" applyAlignment="1" applyProtection="1">
      <alignment horizontal="left" vertical="top" wrapText="1"/>
      <protection hidden="1"/>
    </xf>
    <xf numFmtId="0" fontId="8" fillId="33" borderId="20" xfId="53" applyNumberFormat="1" applyFont="1" applyFill="1" applyBorder="1" applyAlignment="1" applyProtection="1">
      <alignment horizontal="center" vertical="center" wrapText="1"/>
      <protection hidden="1"/>
    </xf>
    <xf numFmtId="40" fontId="3" fillId="0" borderId="21" xfId="53" applyNumberFormat="1" applyFont="1" applyFill="1" applyBorder="1" applyAlignment="1" applyProtection="1">
      <alignment horizontal="right" vertical="center"/>
      <protection hidden="1"/>
    </xf>
    <xf numFmtId="40" fontId="5" fillId="0" borderId="10" xfId="53" applyNumberFormat="1" applyFont="1" applyFill="1" applyBorder="1" applyAlignment="1" applyProtection="1">
      <alignment horizontal="right" vertical="center"/>
      <protection hidden="1"/>
    </xf>
    <xf numFmtId="40" fontId="3" fillId="0" borderId="10" xfId="53" applyNumberFormat="1" applyFont="1" applyFill="1" applyBorder="1" applyAlignment="1" applyProtection="1">
      <alignment horizontal="right" vertical="center"/>
      <protection hidden="1"/>
    </xf>
    <xf numFmtId="40" fontId="3" fillId="0" borderId="22" xfId="53" applyNumberFormat="1" applyFont="1" applyFill="1" applyBorder="1" applyAlignment="1" applyProtection="1">
      <alignment horizontal="right" vertical="center"/>
      <protection hidden="1"/>
    </xf>
    <xf numFmtId="40" fontId="3" fillId="0" borderId="11" xfId="53" applyNumberFormat="1" applyFont="1" applyFill="1" applyBorder="1" applyAlignment="1" applyProtection="1">
      <alignment horizontal="right" vertical="center"/>
      <protection hidden="1"/>
    </xf>
    <xf numFmtId="40" fontId="3" fillId="0" borderId="23" xfId="53" applyNumberFormat="1" applyFont="1" applyFill="1" applyBorder="1" applyAlignment="1" applyProtection="1">
      <alignment horizontal="right" vertical="center"/>
      <protection hidden="1"/>
    </xf>
    <xf numFmtId="40" fontId="3" fillId="0" borderId="12" xfId="53" applyNumberFormat="1" applyFont="1" applyFill="1" applyBorder="1" applyAlignment="1" applyProtection="1">
      <alignment horizontal="right" vertical="center"/>
      <protection hidden="1"/>
    </xf>
    <xf numFmtId="40" fontId="3" fillId="0" borderId="24" xfId="53" applyNumberFormat="1" applyFont="1" applyFill="1" applyBorder="1" applyAlignment="1" applyProtection="1">
      <alignment horizontal="right" vertical="center"/>
      <protection hidden="1"/>
    </xf>
    <xf numFmtId="40" fontId="3" fillId="0" borderId="19" xfId="53" applyNumberFormat="1" applyFont="1" applyFill="1" applyBorder="1" applyAlignment="1" applyProtection="1">
      <alignment horizontal="right" vertical="center"/>
      <protection hidden="1"/>
    </xf>
    <xf numFmtId="40" fontId="3" fillId="0" borderId="18" xfId="53" applyNumberFormat="1" applyFont="1" applyFill="1" applyBorder="1" applyAlignment="1" applyProtection="1">
      <alignment horizontal="right" vertical="center"/>
      <protection hidden="1"/>
    </xf>
    <xf numFmtId="40" fontId="5" fillId="0" borderId="19" xfId="53" applyNumberFormat="1" applyFont="1" applyFill="1" applyBorder="1" applyAlignment="1" applyProtection="1">
      <alignment horizontal="right" vertical="center" wrapText="1"/>
      <protection hidden="1"/>
    </xf>
    <xf numFmtId="40" fontId="3" fillId="0" borderId="25" xfId="53" applyNumberFormat="1" applyFont="1" applyFill="1" applyBorder="1" applyAlignment="1" applyProtection="1">
      <alignment horizontal="right" vertical="center"/>
      <protection hidden="1"/>
    </xf>
    <xf numFmtId="40" fontId="5" fillId="0" borderId="20" xfId="53" applyNumberFormat="1" applyFont="1" applyFill="1" applyBorder="1" applyAlignment="1" applyProtection="1">
      <alignment horizontal="right" vertical="center"/>
      <protection hidden="1"/>
    </xf>
    <xf numFmtId="177" fontId="8" fillId="33" borderId="11" xfId="53" applyNumberFormat="1" applyFont="1" applyFill="1" applyBorder="1" applyAlignment="1" applyProtection="1">
      <alignment horizontal="right" vertical="center" wrapText="1"/>
      <protection hidden="1"/>
    </xf>
    <xf numFmtId="40" fontId="5" fillId="0" borderId="20" xfId="53" applyNumberFormat="1" applyFont="1" applyFill="1" applyBorder="1" applyAlignment="1" applyProtection="1">
      <alignment horizontal="right" vertical="center" wrapText="1"/>
      <protection hidden="1"/>
    </xf>
    <xf numFmtId="40" fontId="5" fillId="0" borderId="26" xfId="53" applyNumberFormat="1" applyFont="1" applyFill="1" applyBorder="1" applyAlignment="1" applyProtection="1">
      <alignment horizontal="right" vertical="center" wrapText="1"/>
      <protection hidden="1"/>
    </xf>
    <xf numFmtId="40" fontId="3" fillId="0" borderId="10" xfId="53" applyNumberFormat="1" applyFont="1" applyFill="1" applyBorder="1" applyAlignment="1" applyProtection="1">
      <alignment horizontal="right" vertical="center" wrapText="1"/>
      <protection hidden="1"/>
    </xf>
    <xf numFmtId="40" fontId="3" fillId="0" borderId="19" xfId="53" applyNumberFormat="1" applyFont="1" applyFill="1" applyBorder="1" applyAlignment="1" applyProtection="1">
      <alignment horizontal="right" vertical="center" wrapText="1"/>
      <protection hidden="1"/>
    </xf>
    <xf numFmtId="40" fontId="3" fillId="0" borderId="24" xfId="53" applyNumberFormat="1" applyFont="1" applyFill="1" applyBorder="1" applyAlignment="1" applyProtection="1">
      <alignment horizontal="right" vertical="center" wrapText="1"/>
      <protection hidden="1"/>
    </xf>
    <xf numFmtId="40" fontId="3" fillId="0" borderId="27" xfId="53" applyNumberFormat="1" applyFont="1" applyFill="1" applyBorder="1" applyAlignment="1" applyProtection="1">
      <alignment horizontal="right" vertical="center" wrapText="1"/>
      <protection hidden="1"/>
    </xf>
    <xf numFmtId="40" fontId="5" fillId="0" borderId="28" xfId="53" applyNumberFormat="1" applyFont="1" applyFill="1" applyBorder="1" applyAlignment="1" applyProtection="1">
      <alignment horizontal="right" vertical="center"/>
      <protection hidden="1"/>
    </xf>
    <xf numFmtId="40" fontId="3" fillId="0" borderId="28" xfId="53" applyNumberFormat="1" applyFont="1" applyFill="1" applyBorder="1" applyAlignment="1" applyProtection="1">
      <alignment horizontal="right" vertical="center"/>
      <protection hidden="1"/>
    </xf>
    <xf numFmtId="40" fontId="5" fillId="0" borderId="21" xfId="53" applyNumberFormat="1" applyFont="1" applyFill="1" applyBorder="1" applyAlignment="1" applyProtection="1">
      <alignment horizontal="right" vertical="center"/>
      <protection hidden="1"/>
    </xf>
    <xf numFmtId="40" fontId="5" fillId="0" borderId="11" xfId="53" applyNumberFormat="1" applyFont="1" applyFill="1" applyBorder="1" applyAlignment="1" applyProtection="1">
      <alignment horizontal="right" vertical="center"/>
      <protection hidden="1"/>
    </xf>
    <xf numFmtId="40" fontId="5" fillId="0" borderId="22" xfId="53" applyNumberFormat="1" applyFont="1" applyFill="1" applyBorder="1" applyAlignment="1" applyProtection="1">
      <alignment horizontal="right" vertical="center"/>
      <protection hidden="1"/>
    </xf>
    <xf numFmtId="40" fontId="8" fillId="33" borderId="20" xfId="53" applyNumberFormat="1" applyFont="1" applyFill="1" applyBorder="1" applyAlignment="1" applyProtection="1">
      <alignment horizontal="right" vertical="center"/>
      <protection hidden="1"/>
    </xf>
    <xf numFmtId="40" fontId="8" fillId="33" borderId="10" xfId="53" applyNumberFormat="1" applyFont="1" applyFill="1" applyBorder="1" applyAlignment="1" applyProtection="1">
      <alignment horizontal="right" vertical="center"/>
      <protection hidden="1"/>
    </xf>
    <xf numFmtId="4" fontId="4" fillId="0" borderId="10" xfId="0" applyNumberFormat="1" applyFont="1" applyBorder="1" applyAlignment="1">
      <alignment horizontal="left" indent="3"/>
    </xf>
    <xf numFmtId="40" fontId="4" fillId="0" borderId="10" xfId="0" applyNumberFormat="1" applyFont="1" applyBorder="1" applyAlignment="1">
      <alignment/>
    </xf>
    <xf numFmtId="40" fontId="7" fillId="0" borderId="10" xfId="0" applyNumberFormat="1" applyFont="1" applyBorder="1" applyAlignment="1">
      <alignment/>
    </xf>
    <xf numFmtId="4" fontId="7" fillId="0" borderId="21" xfId="0" applyNumberFormat="1" applyFont="1" applyBorder="1" applyAlignment="1">
      <alignment/>
    </xf>
    <xf numFmtId="4" fontId="4" fillId="0" borderId="21" xfId="0" applyNumberFormat="1" applyFont="1" applyBorder="1" applyAlignment="1">
      <alignment/>
    </xf>
    <xf numFmtId="4" fontId="4" fillId="0" borderId="12" xfId="0" applyNumberFormat="1" applyFont="1" applyBorder="1" applyAlignment="1">
      <alignment/>
    </xf>
    <xf numFmtId="172" fontId="3" fillId="0" borderId="0" xfId="53" applyNumberFormat="1" applyFont="1" applyFill="1" applyBorder="1" applyAlignment="1" applyProtection="1">
      <alignment horizontal="left" vertical="top" wrapText="1"/>
      <protection hidden="1"/>
    </xf>
    <xf numFmtId="172" fontId="6" fillId="0" borderId="0" xfId="53" applyNumberFormat="1" applyFont="1" applyFill="1" applyBorder="1" applyAlignment="1" applyProtection="1">
      <alignment horizontal="left" vertical="top" wrapText="1"/>
      <protection hidden="1"/>
    </xf>
    <xf numFmtId="40" fontId="14" fillId="0" borderId="10" xfId="53" applyNumberFormat="1" applyFont="1" applyFill="1" applyBorder="1" applyAlignment="1" applyProtection="1">
      <alignment horizontal="right" vertical="center"/>
      <protection hidden="1"/>
    </xf>
    <xf numFmtId="4" fontId="11" fillId="0" borderId="10" xfId="0" applyNumberFormat="1" applyFont="1" applyFill="1" applyBorder="1" applyAlignment="1">
      <alignment horizontal="center" vertical="center"/>
    </xf>
    <xf numFmtId="4" fontId="13" fillId="0" borderId="10" xfId="0" applyNumberFormat="1" applyFont="1" applyFill="1" applyBorder="1" applyAlignment="1">
      <alignment horizontal="center" vertical="center"/>
    </xf>
    <xf numFmtId="1" fontId="12" fillId="34" borderId="10" xfId="55" applyNumberFormat="1" applyFont="1" applyFill="1" applyBorder="1" applyAlignment="1" applyProtection="1">
      <alignment horizontal="left" vertical="center" wrapText="1" shrinkToFit="1"/>
      <protection hidden="1"/>
    </xf>
    <xf numFmtId="4" fontId="12" fillId="34" borderId="10" xfId="53" applyNumberFormat="1" applyFont="1" applyFill="1" applyBorder="1" applyAlignment="1" applyProtection="1">
      <alignment horizontal="center" vertical="center"/>
      <protection hidden="1"/>
    </xf>
    <xf numFmtId="4" fontId="10" fillId="34" borderId="10" xfId="53" applyNumberFormat="1" applyFont="1" applyFill="1" applyBorder="1" applyAlignment="1" applyProtection="1">
      <alignment horizontal="center" vertical="center"/>
      <protection hidden="1"/>
    </xf>
    <xf numFmtId="0" fontId="10" fillId="34" borderId="0" xfId="53" applyFont="1" applyFill="1" applyBorder="1" applyAlignment="1" applyProtection="1">
      <alignment horizontal="center" vertical="center" wrapText="1"/>
      <protection hidden="1"/>
    </xf>
    <xf numFmtId="4" fontId="12" fillId="34" borderId="10" xfId="0" applyNumberFormat="1" applyFont="1" applyFill="1" applyBorder="1" applyAlignment="1">
      <alignment horizontal="center" vertical="center"/>
    </xf>
    <xf numFmtId="4" fontId="10" fillId="34" borderId="10" xfId="0" applyNumberFormat="1" applyFont="1" applyFill="1" applyBorder="1" applyAlignment="1">
      <alignment horizontal="center" vertical="center"/>
    </xf>
    <xf numFmtId="4" fontId="12" fillId="34" borderId="10" xfId="55" applyNumberFormat="1" applyFont="1" applyFill="1" applyBorder="1" applyAlignment="1" applyProtection="1">
      <alignment horizontal="center" vertical="center"/>
      <protection hidden="1"/>
    </xf>
    <xf numFmtId="4" fontId="23" fillId="34" borderId="18" xfId="0" applyNumberFormat="1" applyFont="1" applyFill="1" applyBorder="1" applyAlignment="1">
      <alignment horizontal="center" vertical="center"/>
    </xf>
    <xf numFmtId="4" fontId="11" fillId="34" borderId="29" xfId="0" applyNumberFormat="1" applyFont="1" applyFill="1" applyBorder="1" applyAlignment="1">
      <alignment horizontal="center" vertical="center"/>
    </xf>
    <xf numFmtId="4" fontId="16" fillId="34" borderId="10" xfId="53" applyNumberFormat="1" applyFont="1" applyFill="1" applyBorder="1" applyAlignment="1" applyProtection="1">
      <alignment horizontal="center" vertical="center"/>
      <protection hidden="1"/>
    </xf>
    <xf numFmtId="49" fontId="12" fillId="34" borderId="10" xfId="0" applyNumberFormat="1" applyFont="1" applyFill="1" applyBorder="1" applyAlignment="1">
      <alignment horizontal="center" vertical="center" wrapText="1"/>
    </xf>
    <xf numFmtId="0" fontId="12" fillId="34" borderId="10" xfId="0" applyFont="1" applyFill="1" applyBorder="1" applyAlignment="1">
      <alignment horizontal="center" vertical="center" wrapText="1"/>
    </xf>
    <xf numFmtId="4" fontId="13" fillId="34" borderId="10" xfId="0" applyNumberFormat="1" applyFont="1" applyFill="1" applyBorder="1" applyAlignment="1">
      <alignment vertical="center"/>
    </xf>
    <xf numFmtId="49" fontId="11" fillId="34" borderId="0" xfId="0" applyNumberFormat="1" applyFont="1" applyFill="1" applyBorder="1" applyAlignment="1">
      <alignment vertical="center"/>
    </xf>
    <xf numFmtId="49" fontId="10" fillId="34" borderId="10" xfId="0" applyNumberFormat="1" applyFont="1" applyFill="1" applyBorder="1" applyAlignment="1">
      <alignment horizontal="center" vertical="center" wrapText="1"/>
    </xf>
    <xf numFmtId="49" fontId="10" fillId="34" borderId="10" xfId="55" applyNumberFormat="1" applyFont="1" applyFill="1" applyBorder="1" applyAlignment="1" applyProtection="1">
      <alignment horizontal="center" vertical="center"/>
      <protection hidden="1"/>
    </xf>
    <xf numFmtId="49" fontId="12" fillId="34" borderId="10" xfId="55" applyNumberFormat="1" applyFont="1" applyFill="1" applyBorder="1" applyAlignment="1" applyProtection="1">
      <alignment horizontal="center" vertical="center"/>
      <protection hidden="1"/>
    </xf>
    <xf numFmtId="0" fontId="12" fillId="34" borderId="10" xfId="55" applyFont="1" applyFill="1" applyBorder="1" applyAlignment="1">
      <alignment horizontal="center" vertical="center"/>
      <protection/>
    </xf>
    <xf numFmtId="49" fontId="23" fillId="34" borderId="23" xfId="0" applyNumberFormat="1" applyFont="1" applyFill="1" applyBorder="1" applyAlignment="1">
      <alignment horizontal="center" vertical="center" wrapText="1"/>
    </xf>
    <xf numFmtId="49" fontId="11" fillId="34" borderId="10" xfId="0" applyNumberFormat="1" applyFont="1" applyFill="1" applyBorder="1" applyAlignment="1">
      <alignment vertical="center"/>
    </xf>
    <xf numFmtId="49" fontId="11" fillId="34" borderId="11" xfId="0" applyNumberFormat="1" applyFont="1" applyFill="1" applyBorder="1" applyAlignment="1">
      <alignment vertical="center"/>
    </xf>
    <xf numFmtId="0" fontId="10" fillId="34" borderId="0" xfId="53" applyFont="1" applyFill="1" applyBorder="1" applyAlignment="1" applyProtection="1">
      <alignment vertical="center" wrapText="1"/>
      <protection hidden="1"/>
    </xf>
    <xf numFmtId="178" fontId="10" fillId="34" borderId="0" xfId="53" applyNumberFormat="1" applyFont="1" applyFill="1" applyBorder="1" applyAlignment="1" applyProtection="1">
      <alignment horizontal="center" vertical="center"/>
      <protection hidden="1"/>
    </xf>
    <xf numFmtId="0" fontId="10" fillId="34" borderId="0" xfId="53" applyFont="1" applyFill="1" applyBorder="1" applyAlignment="1" applyProtection="1">
      <alignment horizontal="center" vertical="center"/>
      <protection hidden="1"/>
    </xf>
    <xf numFmtId="0" fontId="11" fillId="34" borderId="0" xfId="0" applyFont="1" applyFill="1" applyBorder="1" applyAlignment="1">
      <alignment vertical="center"/>
    </xf>
    <xf numFmtId="0" fontId="10" fillId="34" borderId="0" xfId="53" applyFont="1" applyFill="1" applyBorder="1" applyAlignment="1" applyProtection="1">
      <alignment horizontal="right" vertical="center" wrapText="1"/>
      <protection hidden="1"/>
    </xf>
    <xf numFmtId="4" fontId="11" fillId="34" borderId="0" xfId="0" applyNumberFormat="1" applyFont="1" applyFill="1" applyBorder="1" applyAlignment="1">
      <alignment horizontal="center" vertical="center"/>
    </xf>
    <xf numFmtId="0" fontId="10" fillId="34" borderId="10" xfId="0" applyFont="1" applyFill="1" applyBorder="1" applyAlignment="1">
      <alignment vertical="center" wrapText="1"/>
    </xf>
    <xf numFmtId="0" fontId="11" fillId="34" borderId="10" xfId="0" applyFont="1" applyFill="1" applyBorder="1" applyAlignment="1">
      <alignment vertical="center"/>
    </xf>
    <xf numFmtId="4" fontId="13" fillId="34" borderId="10" xfId="0" applyNumberFormat="1" applyFont="1" applyFill="1" applyBorder="1" applyAlignment="1">
      <alignment horizontal="center" vertical="center"/>
    </xf>
    <xf numFmtId="0" fontId="11" fillId="34" borderId="0" xfId="0" applyFont="1" applyFill="1" applyAlignment="1">
      <alignment/>
    </xf>
    <xf numFmtId="0" fontId="12" fillId="34" borderId="10" xfId="0" applyFont="1" applyFill="1" applyBorder="1" applyAlignment="1">
      <alignment vertical="center" wrapText="1"/>
    </xf>
    <xf numFmtId="178" fontId="12" fillId="34" borderId="10" xfId="0" applyNumberFormat="1" applyFont="1" applyFill="1" applyBorder="1" applyAlignment="1" applyProtection="1">
      <alignment horizontal="center" vertical="center" wrapText="1"/>
      <protection/>
    </xf>
    <xf numFmtId="0" fontId="10" fillId="34" borderId="10" xfId="0" applyNumberFormat="1" applyFont="1" applyFill="1" applyBorder="1" applyAlignment="1" applyProtection="1">
      <alignment horizontal="center" vertical="center" wrapText="1"/>
      <protection/>
    </xf>
    <xf numFmtId="0" fontId="12" fillId="34" borderId="10" xfId="0" applyNumberFormat="1" applyFont="1" applyFill="1" applyBorder="1" applyAlignment="1" applyProtection="1">
      <alignment horizontal="center" vertical="center" wrapText="1"/>
      <protection/>
    </xf>
    <xf numFmtId="4" fontId="12" fillId="34" borderId="10" xfId="55" applyNumberFormat="1" applyFont="1" applyFill="1" applyBorder="1" applyAlignment="1">
      <alignment horizontal="center" vertical="center"/>
      <protection/>
    </xf>
    <xf numFmtId="4" fontId="10" fillId="34" borderId="10" xfId="0" applyNumberFormat="1" applyFont="1" applyFill="1" applyBorder="1" applyAlignment="1">
      <alignment vertical="center"/>
    </xf>
    <xf numFmtId="178" fontId="11" fillId="34" borderId="10" xfId="0" applyNumberFormat="1" applyFont="1" applyFill="1" applyBorder="1" applyAlignment="1">
      <alignment horizontal="center" vertical="center"/>
    </xf>
    <xf numFmtId="4" fontId="11" fillId="34" borderId="10" xfId="0" applyNumberFormat="1" applyFont="1" applyFill="1" applyBorder="1" applyAlignment="1">
      <alignment horizontal="center" vertical="center" wrapText="1"/>
    </xf>
    <xf numFmtId="178" fontId="10" fillId="34" borderId="10" xfId="0" applyNumberFormat="1" applyFont="1" applyFill="1" applyBorder="1" applyAlignment="1">
      <alignment horizontal="center" vertical="center"/>
    </xf>
    <xf numFmtId="4" fontId="12" fillId="34" borderId="10" xfId="0" applyNumberFormat="1" applyFont="1" applyFill="1" applyBorder="1" applyAlignment="1">
      <alignment vertical="center"/>
    </xf>
    <xf numFmtId="4" fontId="62" fillId="34" borderId="10" xfId="0" applyNumberFormat="1" applyFont="1" applyFill="1" applyBorder="1" applyAlignment="1">
      <alignment vertical="center"/>
    </xf>
    <xf numFmtId="177" fontId="11" fillId="34" borderId="10" xfId="0" applyNumberFormat="1" applyFont="1" applyFill="1" applyBorder="1" applyAlignment="1">
      <alignment vertical="center" wrapText="1"/>
    </xf>
    <xf numFmtId="0" fontId="12" fillId="34" borderId="11" xfId="0" applyFont="1" applyFill="1" applyBorder="1" applyAlignment="1">
      <alignment horizontal="left" vertical="center" wrapText="1"/>
    </xf>
    <xf numFmtId="0" fontId="12" fillId="34" borderId="11" xfId="55" applyNumberFormat="1" applyFont="1" applyFill="1" applyBorder="1" applyAlignment="1" applyProtection="1">
      <alignment vertical="center" wrapText="1" shrinkToFit="1"/>
      <protection hidden="1"/>
    </xf>
    <xf numFmtId="0" fontId="10" fillId="34" borderId="11" xfId="55" applyNumberFormat="1" applyFont="1" applyFill="1" applyBorder="1" applyAlignment="1" applyProtection="1">
      <alignment vertical="center" wrapText="1" shrinkToFit="1"/>
      <protection hidden="1"/>
    </xf>
    <xf numFmtId="0" fontId="10" fillId="34" borderId="10" xfId="55" applyNumberFormat="1" applyFont="1" applyFill="1" applyBorder="1" applyAlignment="1" applyProtection="1">
      <alignment vertical="center" wrapText="1" shrinkToFit="1"/>
      <protection hidden="1"/>
    </xf>
    <xf numFmtId="0" fontId="10" fillId="34" borderId="21" xfId="55" applyNumberFormat="1" applyFont="1" applyFill="1" applyBorder="1" applyAlignment="1" applyProtection="1">
      <alignment vertical="center" wrapText="1" shrinkToFit="1"/>
      <protection hidden="1"/>
    </xf>
    <xf numFmtId="4" fontId="20" fillId="34" borderId="10" xfId="53" applyNumberFormat="1" applyFont="1" applyFill="1" applyBorder="1" applyAlignment="1" applyProtection="1">
      <alignment horizontal="center" vertical="center"/>
      <protection hidden="1"/>
    </xf>
    <xf numFmtId="0" fontId="12" fillId="34" borderId="21" xfId="55" applyNumberFormat="1" applyFont="1" applyFill="1" applyBorder="1" applyAlignment="1" applyProtection="1">
      <alignment vertical="center" wrapText="1" shrinkToFit="1"/>
      <protection hidden="1"/>
    </xf>
    <xf numFmtId="178" fontId="10" fillId="34" borderId="10" xfId="53" applyNumberFormat="1" applyFont="1" applyFill="1" applyBorder="1" applyAlignment="1" applyProtection="1">
      <alignment horizontal="center" vertical="center" wrapText="1"/>
      <protection hidden="1"/>
    </xf>
    <xf numFmtId="4" fontId="10" fillId="34" borderId="10" xfId="53" applyNumberFormat="1" applyFont="1" applyFill="1" applyBorder="1" applyAlignment="1" applyProtection="1">
      <alignment horizontal="center" vertical="center" wrapText="1"/>
      <protection hidden="1"/>
    </xf>
    <xf numFmtId="177" fontId="10" fillId="34" borderId="10" xfId="53" applyNumberFormat="1" applyFont="1" applyFill="1" applyBorder="1" applyAlignment="1" applyProtection="1">
      <alignment horizontal="center" vertical="center"/>
      <protection hidden="1"/>
    </xf>
    <xf numFmtId="178" fontId="10" fillId="34" borderId="12" xfId="53" applyNumberFormat="1" applyFont="1" applyFill="1" applyBorder="1" applyAlignment="1" applyProtection="1">
      <alignment horizontal="center" vertical="center" wrapText="1"/>
      <protection hidden="1"/>
    </xf>
    <xf numFmtId="4" fontId="10" fillId="34" borderId="12" xfId="53" applyNumberFormat="1" applyFont="1" applyFill="1" applyBorder="1" applyAlignment="1" applyProtection="1">
      <alignment horizontal="center" vertical="center" wrapText="1"/>
      <protection hidden="1"/>
    </xf>
    <xf numFmtId="177" fontId="10" fillId="34" borderId="10" xfId="53" applyNumberFormat="1" applyFont="1" applyFill="1" applyBorder="1" applyAlignment="1" applyProtection="1">
      <alignment horizontal="right" vertical="center"/>
      <protection hidden="1"/>
    </xf>
    <xf numFmtId="0" fontId="11" fillId="34" borderId="10" xfId="0" applyFont="1" applyFill="1" applyBorder="1" applyAlignment="1">
      <alignment vertical="top" wrapText="1"/>
    </xf>
    <xf numFmtId="0" fontId="13" fillId="34" borderId="10" xfId="0" applyFont="1" applyFill="1" applyBorder="1" applyAlignment="1">
      <alignment horizontal="center" vertical="center"/>
    </xf>
    <xf numFmtId="4" fontId="15" fillId="34" borderId="10" xfId="0" applyNumberFormat="1" applyFont="1" applyFill="1" applyBorder="1" applyAlignment="1">
      <alignment horizontal="center" vertical="center"/>
    </xf>
    <xf numFmtId="0" fontId="15" fillId="34" borderId="10" xfId="0" applyFont="1" applyFill="1" applyBorder="1" applyAlignment="1">
      <alignment vertical="center"/>
    </xf>
    <xf numFmtId="0" fontId="23" fillId="34" borderId="30" xfId="55" applyNumberFormat="1" applyFont="1" applyFill="1" applyBorder="1" applyAlignment="1" applyProtection="1">
      <alignment horizontal="left" vertical="center" wrapText="1" shrinkToFit="1"/>
      <protection hidden="1"/>
    </xf>
    <xf numFmtId="178" fontId="23" fillId="34" borderId="30" xfId="0" applyNumberFormat="1" applyFont="1" applyFill="1" applyBorder="1" applyAlignment="1">
      <alignment horizontal="center" vertical="center" wrapText="1"/>
    </xf>
    <xf numFmtId="0" fontId="15" fillId="34" borderId="30" xfId="0" applyFont="1" applyFill="1" applyBorder="1" applyAlignment="1">
      <alignment horizontal="center" vertical="center" wrapText="1"/>
    </xf>
    <xf numFmtId="0" fontId="23" fillId="34" borderId="29" xfId="0" applyFont="1" applyFill="1" applyBorder="1" applyAlignment="1">
      <alignment horizontal="center" vertical="center" wrapText="1"/>
    </xf>
    <xf numFmtId="4" fontId="23" fillId="34" borderId="29" xfId="0" applyNumberFormat="1" applyFont="1" applyFill="1" applyBorder="1" applyAlignment="1">
      <alignment vertical="center"/>
    </xf>
    <xf numFmtId="4" fontId="23" fillId="34" borderId="29" xfId="53" applyNumberFormat="1" applyFont="1" applyFill="1" applyBorder="1" applyAlignment="1" applyProtection="1">
      <alignment horizontal="center" vertical="center" wrapText="1"/>
      <protection hidden="1"/>
    </xf>
    <xf numFmtId="4" fontId="23" fillId="34" borderId="29" xfId="0" applyNumberFormat="1" applyFont="1" applyFill="1" applyBorder="1" applyAlignment="1">
      <alignment horizontal="center" vertical="center"/>
    </xf>
    <xf numFmtId="177" fontId="11" fillId="34" borderId="10" xfId="0" applyNumberFormat="1" applyFont="1" applyFill="1" applyBorder="1" applyAlignment="1">
      <alignment horizontal="right" vertical="center"/>
    </xf>
    <xf numFmtId="0" fontId="13" fillId="34" borderId="10" xfId="0" applyFont="1" applyFill="1" applyBorder="1" applyAlignment="1">
      <alignment vertical="center"/>
    </xf>
    <xf numFmtId="0" fontId="11" fillId="34" borderId="22" xfId="0" applyFont="1" applyFill="1" applyBorder="1" applyAlignment="1">
      <alignment vertical="center" wrapText="1"/>
    </xf>
    <xf numFmtId="178" fontId="11" fillId="34" borderId="29" xfId="0" applyNumberFormat="1" applyFont="1" applyFill="1" applyBorder="1" applyAlignment="1">
      <alignment horizontal="center" vertical="center"/>
    </xf>
    <xf numFmtId="0" fontId="11" fillId="34" borderId="29" xfId="0" applyFont="1" applyFill="1" applyBorder="1" applyAlignment="1">
      <alignment horizontal="center" vertical="center"/>
    </xf>
    <xf numFmtId="0" fontId="24" fillId="34" borderId="29" xfId="0" applyFont="1" applyFill="1" applyBorder="1" applyAlignment="1">
      <alignment vertical="top" wrapText="1"/>
    </xf>
    <xf numFmtId="4" fontId="11" fillId="34" borderId="29" xfId="0" applyNumberFormat="1" applyFont="1" applyFill="1" applyBorder="1" applyAlignment="1">
      <alignment vertical="center"/>
    </xf>
    <xf numFmtId="0" fontId="24" fillId="34" borderId="10" xfId="0" applyFont="1" applyFill="1" applyBorder="1" applyAlignment="1">
      <alignment vertical="top" wrapText="1"/>
    </xf>
    <xf numFmtId="0" fontId="16" fillId="34" borderId="10" xfId="0" applyFont="1" applyFill="1" applyBorder="1" applyAlignment="1">
      <alignment horizontal="center" vertical="center" wrapText="1"/>
    </xf>
    <xf numFmtId="0" fontId="0" fillId="34" borderId="12" xfId="0" applyFill="1" applyBorder="1" applyAlignment="1">
      <alignment/>
    </xf>
    <xf numFmtId="4" fontId="10" fillId="34" borderId="10" xfId="55" applyNumberFormat="1" applyFont="1" applyFill="1" applyBorder="1" applyAlignment="1" applyProtection="1">
      <alignment horizontal="center" vertical="center"/>
      <protection hidden="1"/>
    </xf>
    <xf numFmtId="0" fontId="11" fillId="34" borderId="18" xfId="0" applyFont="1" applyFill="1" applyBorder="1" applyAlignment="1">
      <alignment vertical="center" wrapText="1"/>
    </xf>
    <xf numFmtId="4" fontId="22" fillId="34" borderId="10" xfId="53" applyNumberFormat="1" applyFont="1" applyFill="1" applyBorder="1" applyAlignment="1" applyProtection="1">
      <alignment horizontal="center" vertical="center"/>
      <protection hidden="1"/>
    </xf>
    <xf numFmtId="49" fontId="13" fillId="34" borderId="10" xfId="0" applyNumberFormat="1" applyFont="1" applyFill="1" applyBorder="1" applyAlignment="1">
      <alignment horizontal="center" vertical="center" wrapText="1"/>
    </xf>
    <xf numFmtId="178" fontId="10" fillId="34" borderId="11" xfId="0" applyNumberFormat="1" applyFont="1" applyFill="1" applyBorder="1" applyAlignment="1" applyProtection="1">
      <alignment horizontal="center" vertical="center" wrapText="1"/>
      <protection/>
    </xf>
    <xf numFmtId="49" fontId="12" fillId="34" borderId="11" xfId="55" applyNumberFormat="1" applyFont="1" applyFill="1" applyBorder="1" applyAlignment="1" applyProtection="1">
      <alignment horizontal="center" vertical="center"/>
      <protection hidden="1"/>
    </xf>
    <xf numFmtId="4" fontId="10" fillId="34" borderId="10" xfId="0" applyNumberFormat="1" applyFont="1" applyFill="1" applyBorder="1" applyAlignment="1">
      <alignment horizontal="center" vertical="center" wrapText="1"/>
    </xf>
    <xf numFmtId="4" fontId="12" fillId="34" borderId="10" xfId="0" applyNumberFormat="1" applyFont="1" applyFill="1" applyBorder="1" applyAlignment="1">
      <alignment horizontal="center" vertical="center" wrapText="1"/>
    </xf>
    <xf numFmtId="0" fontId="13" fillId="34" borderId="10" xfId="0" applyFont="1" applyFill="1" applyBorder="1" applyAlignment="1">
      <alignment vertical="center" wrapText="1"/>
    </xf>
    <xf numFmtId="4" fontId="10" fillId="34" borderId="12" xfId="0" applyNumberFormat="1" applyFont="1" applyFill="1" applyBorder="1" applyAlignment="1">
      <alignment vertical="center"/>
    </xf>
    <xf numFmtId="4" fontId="11" fillId="34" borderId="12" xfId="0" applyNumberFormat="1" applyFont="1" applyFill="1" applyBorder="1" applyAlignment="1">
      <alignment vertical="center"/>
    </xf>
    <xf numFmtId="4" fontId="11" fillId="34" borderId="31" xfId="0" applyNumberFormat="1" applyFont="1" applyFill="1" applyBorder="1" applyAlignment="1">
      <alignment vertical="center"/>
    </xf>
    <xf numFmtId="178" fontId="10" fillId="34" borderId="10" xfId="0" applyNumberFormat="1" applyFont="1" applyFill="1" applyBorder="1" applyAlignment="1" applyProtection="1">
      <alignment horizontal="center" vertical="center" wrapText="1"/>
      <protection/>
    </xf>
    <xf numFmtId="4" fontId="12" fillId="34" borderId="10" xfId="53" applyNumberFormat="1" applyFont="1" applyFill="1" applyBorder="1" applyAlignment="1" applyProtection="1">
      <alignment horizontal="right" vertical="center"/>
      <protection hidden="1"/>
    </xf>
    <xf numFmtId="4" fontId="10" fillId="34" borderId="10" xfId="53" applyNumberFormat="1" applyFont="1" applyFill="1" applyBorder="1" applyAlignment="1" applyProtection="1">
      <alignment horizontal="right" vertical="center"/>
      <protection hidden="1"/>
    </xf>
    <xf numFmtId="4" fontId="10" fillId="34" borderId="0" xfId="53" applyNumberFormat="1" applyFont="1" applyFill="1" applyBorder="1" applyAlignment="1" applyProtection="1">
      <alignment horizontal="right" vertical="center"/>
      <protection hidden="1"/>
    </xf>
    <xf numFmtId="4" fontId="12" fillId="34" borderId="10" xfId="55" applyNumberFormat="1" applyFont="1" applyFill="1" applyBorder="1" applyAlignment="1" applyProtection="1">
      <alignment horizontal="right" vertical="center"/>
      <protection hidden="1"/>
    </xf>
    <xf numFmtId="4" fontId="12" fillId="34" borderId="10" xfId="0" applyNumberFormat="1" applyFont="1" applyFill="1" applyBorder="1" applyAlignment="1">
      <alignment horizontal="right" vertical="center" wrapText="1"/>
    </xf>
    <xf numFmtId="4" fontId="12" fillId="34" borderId="10" xfId="0" applyNumberFormat="1" applyFont="1" applyFill="1" applyBorder="1" applyAlignment="1">
      <alignment horizontal="right" vertical="center"/>
    </xf>
    <xf numFmtId="4" fontId="10" fillId="34" borderId="10" xfId="0" applyNumberFormat="1" applyFont="1" applyFill="1" applyBorder="1" applyAlignment="1">
      <alignment horizontal="right" vertical="center"/>
    </xf>
    <xf numFmtId="4" fontId="12" fillId="34" borderId="29" xfId="53" applyNumberFormat="1" applyFont="1" applyFill="1" applyBorder="1" applyAlignment="1" applyProtection="1">
      <alignment horizontal="right" vertical="center" wrapText="1"/>
      <protection hidden="1"/>
    </xf>
    <xf numFmtId="4" fontId="10" fillId="34" borderId="29" xfId="0" applyNumberFormat="1" applyFont="1" applyFill="1" applyBorder="1" applyAlignment="1">
      <alignment horizontal="right" vertical="center"/>
    </xf>
    <xf numFmtId="4" fontId="16" fillId="34" borderId="10" xfId="53" applyNumberFormat="1" applyFont="1" applyFill="1" applyBorder="1" applyAlignment="1" applyProtection="1">
      <alignment horizontal="right" vertical="center"/>
      <protection hidden="1"/>
    </xf>
    <xf numFmtId="0" fontId="13" fillId="0" borderId="10" xfId="0" applyFont="1" applyFill="1" applyBorder="1" applyAlignment="1">
      <alignment vertical="center"/>
    </xf>
    <xf numFmtId="0" fontId="11" fillId="0" borderId="10" xfId="0" applyFont="1" applyFill="1" applyBorder="1" applyAlignment="1">
      <alignment vertical="center"/>
    </xf>
    <xf numFmtId="49" fontId="11" fillId="0" borderId="12" xfId="0" applyNumberFormat="1" applyFont="1" applyFill="1" applyBorder="1" applyAlignment="1">
      <alignment horizontal="center" vertical="center" wrapText="1"/>
    </xf>
    <xf numFmtId="4" fontId="11" fillId="0" borderId="10" xfId="0" applyNumberFormat="1" applyFont="1" applyFill="1" applyBorder="1" applyAlignment="1">
      <alignment vertical="center"/>
    </xf>
    <xf numFmtId="49" fontId="13" fillId="0" borderId="12" xfId="0" applyNumberFormat="1" applyFont="1" applyFill="1" applyBorder="1" applyAlignment="1">
      <alignment horizontal="center" vertical="center" wrapText="1"/>
    </xf>
    <xf numFmtId="0" fontId="63" fillId="34" borderId="10" xfId="0" applyFont="1" applyFill="1" applyBorder="1" applyAlignment="1">
      <alignment vertical="center" wrapText="1"/>
    </xf>
    <xf numFmtId="4" fontId="63" fillId="34" borderId="10" xfId="0" applyNumberFormat="1" applyFont="1" applyFill="1" applyBorder="1" applyAlignment="1">
      <alignment horizontal="right" vertical="center"/>
    </xf>
    <xf numFmtId="49" fontId="10" fillId="0" borderId="10" xfId="55" applyNumberFormat="1" applyFont="1" applyFill="1" applyBorder="1" applyAlignment="1" applyProtection="1">
      <alignment horizontal="center" vertical="center"/>
      <protection hidden="1"/>
    </xf>
    <xf numFmtId="178" fontId="13" fillId="34" borderId="11" xfId="0" applyNumberFormat="1" applyFont="1" applyFill="1" applyBorder="1" applyAlignment="1">
      <alignment vertical="center"/>
    </xf>
    <xf numFmtId="178" fontId="13" fillId="34" borderId="31" xfId="0" applyNumberFormat="1" applyFont="1" applyFill="1" applyBorder="1" applyAlignment="1">
      <alignment vertical="center"/>
    </xf>
    <xf numFmtId="178" fontId="63" fillId="34" borderId="10" xfId="0" applyNumberFormat="1" applyFont="1" applyFill="1" applyBorder="1" applyAlignment="1">
      <alignment horizontal="right" vertical="center"/>
    </xf>
    <xf numFmtId="177" fontId="10" fillId="34" borderId="10" xfId="53" applyNumberFormat="1" applyFont="1" applyFill="1" applyBorder="1" applyAlignment="1" applyProtection="1">
      <alignment vertical="center"/>
      <protection hidden="1"/>
    </xf>
    <xf numFmtId="4" fontId="10" fillId="34" borderId="10" xfId="55" applyNumberFormat="1" applyFont="1" applyFill="1" applyBorder="1" applyAlignment="1">
      <alignment horizontal="right" vertical="center"/>
      <protection/>
    </xf>
    <xf numFmtId="4" fontId="11" fillId="35" borderId="10" xfId="0" applyNumberFormat="1" applyFont="1" applyFill="1" applyBorder="1" applyAlignment="1">
      <alignment horizontal="center" vertical="center"/>
    </xf>
    <xf numFmtId="4" fontId="13" fillId="35" borderId="10" xfId="0" applyNumberFormat="1" applyFont="1" applyFill="1" applyBorder="1" applyAlignment="1">
      <alignment horizontal="center" vertical="center"/>
    </xf>
    <xf numFmtId="49" fontId="11" fillId="0" borderId="11" xfId="0" applyNumberFormat="1" applyFont="1" applyFill="1" applyBorder="1" applyAlignment="1">
      <alignment horizontal="center" vertical="center" wrapText="1"/>
    </xf>
    <xf numFmtId="49" fontId="11" fillId="0" borderId="10" xfId="0" applyNumberFormat="1" applyFont="1" applyFill="1" applyBorder="1" applyAlignment="1">
      <alignment vertical="center"/>
    </xf>
    <xf numFmtId="4" fontId="16" fillId="0" borderId="10" xfId="53" applyNumberFormat="1" applyFont="1" applyFill="1" applyBorder="1" applyAlignment="1" applyProtection="1">
      <alignment horizontal="center" vertical="center"/>
      <protection hidden="1"/>
    </xf>
    <xf numFmtId="49" fontId="13" fillId="0"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xf>
    <xf numFmtId="4" fontId="12" fillId="0" borderId="10" xfId="53" applyNumberFormat="1" applyFont="1" applyFill="1" applyBorder="1" applyAlignment="1" applyProtection="1">
      <alignment horizontal="center" vertical="center"/>
      <protection hidden="1"/>
    </xf>
    <xf numFmtId="49" fontId="11" fillId="0" borderId="10"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 fontId="12" fillId="0" borderId="10" xfId="53" applyNumberFormat="1" applyFont="1" applyFill="1" applyBorder="1" applyAlignment="1" applyProtection="1">
      <alignment horizontal="center" vertical="center" wrapText="1"/>
      <protection hidden="1"/>
    </xf>
    <xf numFmtId="49" fontId="12" fillId="34" borderId="12" xfId="0" applyNumberFormat="1" applyFont="1" applyFill="1" applyBorder="1" applyAlignment="1">
      <alignment horizontal="center" vertical="center" wrapText="1"/>
    </xf>
    <xf numFmtId="4" fontId="12" fillId="34" borderId="10" xfId="53" applyNumberFormat="1" applyFont="1" applyFill="1" applyBorder="1" applyAlignment="1" applyProtection="1">
      <alignment horizontal="right" vertical="center" wrapText="1"/>
      <protection hidden="1"/>
    </xf>
    <xf numFmtId="4" fontId="12" fillId="34" borderId="10" xfId="53" applyNumberFormat="1" applyFont="1" applyFill="1" applyBorder="1" applyAlignment="1" applyProtection="1">
      <alignment horizontal="center" vertical="center" wrapText="1"/>
      <protection hidden="1"/>
    </xf>
    <xf numFmtId="0" fontId="10" fillId="34" borderId="10" xfId="0" applyFont="1" applyFill="1" applyBorder="1" applyAlignment="1">
      <alignment vertical="center"/>
    </xf>
    <xf numFmtId="49" fontId="23" fillId="0" borderId="12" xfId="0" applyNumberFormat="1" applyFont="1" applyFill="1" applyBorder="1" applyAlignment="1">
      <alignment horizontal="center" vertical="center" wrapText="1"/>
    </xf>
    <xf numFmtId="0" fontId="15" fillId="0" borderId="10" xfId="0" applyFont="1" applyFill="1" applyBorder="1" applyAlignment="1">
      <alignment vertical="center"/>
    </xf>
    <xf numFmtId="4" fontId="12" fillId="0" borderId="10"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xf>
    <xf numFmtId="4" fontId="17" fillId="0" borderId="10" xfId="0" applyNumberFormat="1" applyFont="1" applyFill="1" applyBorder="1" applyAlignment="1">
      <alignment horizontal="center" vertical="center"/>
    </xf>
    <xf numFmtId="49" fontId="12" fillId="0" borderId="10" xfId="55" applyNumberFormat="1" applyFont="1" applyFill="1" applyBorder="1" applyAlignment="1" applyProtection="1">
      <alignment horizontal="center" vertical="center"/>
      <protection hidden="1"/>
    </xf>
    <xf numFmtId="4" fontId="16" fillId="34" borderId="10" xfId="0" applyNumberFormat="1" applyFont="1" applyFill="1" applyBorder="1" applyAlignment="1">
      <alignment horizontal="center" vertical="center"/>
    </xf>
    <xf numFmtId="0" fontId="17" fillId="34" borderId="10" xfId="0" applyFont="1" applyFill="1" applyBorder="1" applyAlignment="1">
      <alignment horizontal="center" vertical="center"/>
    </xf>
    <xf numFmtId="4" fontId="17" fillId="34" borderId="10" xfId="0" applyNumberFormat="1" applyFont="1" applyFill="1" applyBorder="1" applyAlignment="1">
      <alignment horizontal="center" vertical="center"/>
    </xf>
    <xf numFmtId="49" fontId="13" fillId="34" borderId="10" xfId="0" applyNumberFormat="1" applyFont="1" applyFill="1" applyBorder="1" applyAlignment="1">
      <alignment vertical="center"/>
    </xf>
    <xf numFmtId="0" fontId="13" fillId="34" borderId="10" xfId="0" applyFont="1" applyFill="1" applyBorder="1" applyAlignment="1">
      <alignment horizontal="left" vertical="center" wrapText="1"/>
    </xf>
    <xf numFmtId="0" fontId="10" fillId="34" borderId="10" xfId="53" applyNumberFormat="1" applyFont="1" applyFill="1" applyBorder="1" applyAlignment="1" applyProtection="1">
      <alignment horizontal="center" vertical="center" wrapText="1"/>
      <protection hidden="1"/>
    </xf>
    <xf numFmtId="0" fontId="10" fillId="34" borderId="18" xfId="53" applyNumberFormat="1" applyFont="1" applyFill="1" applyBorder="1" applyAlignment="1" applyProtection="1">
      <alignment horizontal="center" vertical="center" wrapText="1"/>
      <protection hidden="1"/>
    </xf>
    <xf numFmtId="0" fontId="10" fillId="34" borderId="10" xfId="53" applyNumberFormat="1" applyFont="1" applyFill="1" applyBorder="1" applyAlignment="1" applyProtection="1">
      <alignment horizontal="left" vertical="center" wrapText="1"/>
      <protection hidden="1"/>
    </xf>
    <xf numFmtId="178" fontId="10" fillId="34" borderId="10" xfId="0" applyNumberFormat="1" applyFont="1" applyFill="1" applyBorder="1" applyAlignment="1">
      <alignment horizontal="left" vertical="center" wrapText="1"/>
    </xf>
    <xf numFmtId="0" fontId="24" fillId="34" borderId="10" xfId="0" applyFont="1" applyFill="1" applyBorder="1" applyAlignment="1">
      <alignment horizontal="left" vertical="top" wrapText="1"/>
    </xf>
    <xf numFmtId="4" fontId="10" fillId="34" borderId="10" xfId="53" applyNumberFormat="1" applyFont="1" applyFill="1" applyBorder="1" applyAlignment="1" applyProtection="1">
      <alignment horizontal="left" vertical="center" wrapText="1"/>
      <protection hidden="1"/>
    </xf>
    <xf numFmtId="4" fontId="10" fillId="34" borderId="10" xfId="53" applyNumberFormat="1" applyFont="1" applyFill="1" applyBorder="1" applyAlignment="1" applyProtection="1">
      <alignment vertical="center" wrapText="1"/>
      <protection hidden="1"/>
    </xf>
    <xf numFmtId="4" fontId="10" fillId="34" borderId="10" xfId="53" applyNumberFormat="1" applyFont="1" applyFill="1" applyBorder="1" applyAlignment="1" applyProtection="1">
      <alignment vertical="center"/>
      <protection hidden="1"/>
    </xf>
    <xf numFmtId="4" fontId="12" fillId="34" borderId="10" xfId="53" applyNumberFormat="1" applyFont="1" applyFill="1" applyBorder="1" applyAlignment="1" applyProtection="1">
      <alignment vertical="center"/>
      <protection hidden="1"/>
    </xf>
    <xf numFmtId="4" fontId="64" fillId="34" borderId="10" xfId="0" applyNumberFormat="1" applyFont="1" applyFill="1" applyBorder="1" applyAlignment="1">
      <alignment horizontal="right" vertical="center" wrapText="1"/>
    </xf>
    <xf numFmtId="0" fontId="10" fillId="34" borderId="12" xfId="0" applyFont="1" applyFill="1" applyBorder="1" applyAlignment="1">
      <alignment vertical="top" wrapText="1"/>
    </xf>
    <xf numFmtId="0" fontId="10" fillId="34" borderId="10" xfId="0" applyFont="1" applyFill="1" applyBorder="1" applyAlignment="1">
      <alignment vertical="top" wrapText="1"/>
    </xf>
    <xf numFmtId="0" fontId="65" fillId="34" borderId="10" xfId="0" applyFont="1" applyFill="1" applyBorder="1" applyAlignment="1">
      <alignment horizontal="left" vertical="center" wrapText="1"/>
    </xf>
    <xf numFmtId="0" fontId="65" fillId="34" borderId="10" xfId="0" applyFont="1" applyFill="1" applyBorder="1" applyAlignment="1">
      <alignment vertical="center" wrapText="1"/>
    </xf>
    <xf numFmtId="177" fontId="10" fillId="34" borderId="21" xfId="53" applyNumberFormat="1" applyFont="1" applyFill="1" applyBorder="1" applyAlignment="1" applyProtection="1">
      <alignment horizontal="right" vertical="center"/>
      <protection hidden="1"/>
    </xf>
    <xf numFmtId="177" fontId="13" fillId="34" borderId="10" xfId="0" applyNumberFormat="1" applyFont="1" applyFill="1" applyBorder="1" applyAlignment="1">
      <alignment horizontal="right" vertical="center"/>
    </xf>
    <xf numFmtId="0" fontId="10" fillId="34" borderId="11" xfId="55" applyNumberFormat="1" applyFont="1" applyFill="1" applyBorder="1" applyAlignment="1" applyProtection="1">
      <alignment horizontal="left" vertical="center" wrapText="1" shrinkToFit="1"/>
      <protection hidden="1"/>
    </xf>
    <xf numFmtId="0" fontId="10" fillId="34" borderId="10" xfId="55" applyNumberFormat="1" applyFont="1" applyFill="1" applyBorder="1" applyAlignment="1" applyProtection="1">
      <alignment horizontal="left" vertical="center" wrapText="1" shrinkToFit="1"/>
      <protection hidden="1"/>
    </xf>
    <xf numFmtId="0" fontId="10" fillId="34" borderId="12" xfId="55" applyNumberFormat="1" applyFont="1" applyFill="1" applyBorder="1" applyAlignment="1" applyProtection="1">
      <alignment horizontal="left" vertical="center" wrapText="1" shrinkToFit="1"/>
      <protection hidden="1"/>
    </xf>
    <xf numFmtId="0" fontId="10" fillId="34" borderId="11" xfId="0" applyFont="1" applyFill="1" applyBorder="1" applyAlignment="1">
      <alignment vertical="center" wrapText="1"/>
    </xf>
    <xf numFmtId="1" fontId="10" fillId="34" borderId="10" xfId="55" applyNumberFormat="1" applyFont="1" applyFill="1" applyBorder="1" applyAlignment="1" applyProtection="1">
      <alignment vertical="center" wrapText="1" shrinkToFit="1"/>
      <protection hidden="1"/>
    </xf>
    <xf numFmtId="4" fontId="10" fillId="34" borderId="10" xfId="0" applyNumberFormat="1" applyFont="1" applyFill="1" applyBorder="1" applyAlignment="1">
      <alignment horizontal="right" vertical="top" wrapText="1"/>
    </xf>
    <xf numFmtId="4" fontId="10" fillId="34" borderId="10" xfId="53" applyNumberFormat="1" applyFont="1" applyFill="1" applyBorder="1" applyAlignment="1">
      <alignment horizontal="right" vertical="center" wrapText="1"/>
      <protection/>
    </xf>
    <xf numFmtId="4" fontId="11" fillId="34" borderId="10" xfId="0" applyNumberFormat="1" applyFont="1" applyFill="1" applyBorder="1" applyAlignment="1">
      <alignment horizontal="center" vertical="top" wrapText="1"/>
    </xf>
    <xf numFmtId="4" fontId="10" fillId="34" borderId="10" xfId="53" applyNumberFormat="1" applyFont="1" applyFill="1" applyBorder="1" applyAlignment="1">
      <alignment horizontal="center" vertical="center" wrapText="1"/>
      <protection/>
    </xf>
    <xf numFmtId="4" fontId="12" fillId="34" borderId="10" xfId="53" applyNumberFormat="1" applyFont="1" applyFill="1" applyBorder="1" applyAlignment="1">
      <alignment horizontal="right" vertical="center" wrapText="1"/>
      <protection/>
    </xf>
    <xf numFmtId="4" fontId="12" fillId="34" borderId="10" xfId="53" applyNumberFormat="1" applyFont="1" applyFill="1" applyBorder="1" applyAlignment="1">
      <alignment horizontal="center" vertical="center" wrapText="1"/>
      <protection/>
    </xf>
    <xf numFmtId="4" fontId="10" fillId="34" borderId="10" xfId="0" applyNumberFormat="1" applyFont="1" applyFill="1" applyBorder="1" applyAlignment="1">
      <alignment horizontal="right" vertical="center" wrapText="1"/>
    </xf>
    <xf numFmtId="4" fontId="10" fillId="34" borderId="10" xfId="53" applyNumberFormat="1" applyFont="1" applyFill="1" applyBorder="1" applyAlignment="1" applyProtection="1">
      <alignment horizontal="right" vertical="center" wrapText="1"/>
      <protection hidden="1"/>
    </xf>
    <xf numFmtId="4" fontId="10" fillId="34" borderId="11" xfId="0" applyNumberFormat="1" applyFont="1" applyFill="1" applyBorder="1" applyAlignment="1">
      <alignment horizontal="center" vertical="center"/>
    </xf>
    <xf numFmtId="0" fontId="10" fillId="34" borderId="11" xfId="0" applyFont="1" applyFill="1" applyBorder="1" applyAlignment="1">
      <alignment vertical="top" wrapText="1"/>
    </xf>
    <xf numFmtId="4" fontId="11" fillId="34" borderId="10" xfId="0" applyNumberFormat="1" applyFont="1" applyFill="1" applyBorder="1" applyAlignment="1">
      <alignment horizontal="center" vertical="top" wrapText="1"/>
    </xf>
    <xf numFmtId="4" fontId="10" fillId="34" borderId="11" xfId="0" applyNumberFormat="1" applyFont="1" applyFill="1" applyBorder="1" applyAlignment="1">
      <alignment horizontal="right" vertical="top" wrapText="1"/>
    </xf>
    <xf numFmtId="4" fontId="11" fillId="34" borderId="11" xfId="0" applyNumberFormat="1" applyFont="1" applyFill="1" applyBorder="1" applyAlignment="1">
      <alignment horizontal="center" vertical="top" wrapText="1"/>
    </xf>
    <xf numFmtId="0" fontId="10" fillId="34" borderId="10" xfId="0" applyFont="1" applyFill="1" applyBorder="1" applyAlignment="1">
      <alignment horizontal="left" vertical="top" wrapText="1"/>
    </xf>
    <xf numFmtId="4" fontId="10" fillId="34" borderId="10" xfId="0" applyNumberFormat="1" applyFont="1" applyFill="1" applyBorder="1" applyAlignment="1">
      <alignment horizontal="center" vertical="top" wrapText="1"/>
    </xf>
    <xf numFmtId="4" fontId="10" fillId="34" borderId="10" xfId="54" applyNumberFormat="1" applyFont="1" applyFill="1" applyBorder="1" applyAlignment="1" applyProtection="1">
      <alignment horizontal="right" vertical="top" wrapText="1"/>
      <protection hidden="1"/>
    </xf>
    <xf numFmtId="4" fontId="11" fillId="34" borderId="10" xfId="0" applyNumberFormat="1" applyFont="1" applyFill="1" applyBorder="1" applyAlignment="1">
      <alignment horizontal="center" vertical="center" wrapText="1"/>
    </xf>
    <xf numFmtId="0" fontId="10" fillId="34" borderId="31" xfId="0" applyFont="1" applyFill="1" applyBorder="1" applyAlignment="1">
      <alignment horizontal="center" vertical="top" wrapText="1"/>
    </xf>
    <xf numFmtId="4" fontId="10" fillId="34" borderId="10" xfId="54" applyNumberFormat="1" applyFont="1" applyFill="1" applyBorder="1" applyAlignment="1" applyProtection="1">
      <alignment horizontal="center" vertical="top" wrapText="1"/>
      <protection hidden="1"/>
    </xf>
    <xf numFmtId="4" fontId="10" fillId="34" borderId="10" xfId="0" applyNumberFormat="1" applyFont="1" applyFill="1" applyBorder="1" applyAlignment="1">
      <alignment horizontal="right" vertical="top"/>
    </xf>
    <xf numFmtId="4" fontId="10" fillId="34" borderId="10" xfId="0" applyNumberFormat="1" applyFont="1" applyFill="1" applyBorder="1" applyAlignment="1">
      <alignment horizontal="center" vertical="top"/>
    </xf>
    <xf numFmtId="0" fontId="12" fillId="34" borderId="10" xfId="55" applyNumberFormat="1" applyFont="1" applyFill="1" applyBorder="1" applyAlignment="1" applyProtection="1">
      <alignment vertical="center" wrapText="1" shrinkToFit="1"/>
      <protection hidden="1"/>
    </xf>
    <xf numFmtId="0" fontId="11" fillId="34" borderId="10" xfId="0" applyFont="1" applyFill="1" applyBorder="1" applyAlignment="1">
      <alignment horizontal="left" vertical="center" wrapText="1" indent="1"/>
    </xf>
    <xf numFmtId="0" fontId="16" fillId="34" borderId="10" xfId="55" applyNumberFormat="1" applyFont="1" applyFill="1" applyBorder="1" applyAlignment="1" applyProtection="1">
      <alignment vertical="center" wrapText="1" shrinkToFit="1"/>
      <protection hidden="1"/>
    </xf>
    <xf numFmtId="177" fontId="25" fillId="34" borderId="10" xfId="53" applyNumberFormat="1" applyFont="1" applyFill="1" applyBorder="1" applyAlignment="1" applyProtection="1">
      <alignment horizontal="right" vertical="center"/>
      <protection hidden="1"/>
    </xf>
    <xf numFmtId="177" fontId="20" fillId="34" borderId="10" xfId="53" applyNumberFormat="1" applyFont="1" applyFill="1" applyBorder="1" applyAlignment="1" applyProtection="1">
      <alignment horizontal="right" vertical="center"/>
      <protection hidden="1"/>
    </xf>
    <xf numFmtId="177" fontId="12" fillId="34" borderId="10" xfId="53" applyNumberFormat="1" applyFont="1" applyFill="1" applyBorder="1" applyAlignment="1" applyProtection="1">
      <alignment horizontal="right" vertical="center"/>
      <protection hidden="1"/>
    </xf>
    <xf numFmtId="0" fontId="13" fillId="34" borderId="10" xfId="0" applyFont="1" applyFill="1" applyBorder="1" applyAlignment="1">
      <alignment horizontal="center" vertical="center"/>
    </xf>
    <xf numFmtId="0" fontId="11" fillId="34" borderId="10" xfId="0" applyFont="1" applyFill="1" applyBorder="1" applyAlignment="1">
      <alignment horizontal="center" vertical="center"/>
    </xf>
    <xf numFmtId="177" fontId="12" fillId="34" borderId="10" xfId="53" applyNumberFormat="1" applyFont="1" applyFill="1" applyBorder="1" applyAlignment="1" applyProtection="1">
      <alignment horizontal="center" vertical="center"/>
      <protection hidden="1"/>
    </xf>
    <xf numFmtId="178" fontId="12" fillId="34" borderId="12" xfId="0" applyNumberFormat="1" applyFont="1" applyFill="1" applyBorder="1" applyAlignment="1">
      <alignment vertical="center" wrapText="1"/>
    </xf>
    <xf numFmtId="0" fontId="10" fillId="34" borderId="12" xfId="0" applyFont="1" applyFill="1" applyBorder="1" applyAlignment="1">
      <alignment vertical="center" wrapText="1"/>
    </xf>
    <xf numFmtId="178" fontId="10" fillId="34" borderId="10" xfId="0" applyNumberFormat="1" applyFont="1" applyFill="1" applyBorder="1" applyAlignment="1">
      <alignment vertical="center" wrapText="1"/>
    </xf>
    <xf numFmtId="0" fontId="23" fillId="34" borderId="12" xfId="55" applyNumberFormat="1" applyFont="1" applyFill="1" applyBorder="1" applyAlignment="1" applyProtection="1">
      <alignment horizontal="left" vertical="center" wrapText="1" shrinkToFit="1"/>
      <protection hidden="1"/>
    </xf>
    <xf numFmtId="178" fontId="23" fillId="34" borderId="12" xfId="0" applyNumberFormat="1" applyFont="1" applyFill="1" applyBorder="1" applyAlignment="1">
      <alignment horizontal="center" vertical="center" wrapText="1"/>
    </xf>
    <xf numFmtId="0" fontId="15" fillId="34" borderId="12" xfId="0" applyFont="1" applyFill="1" applyBorder="1" applyAlignment="1">
      <alignment horizontal="center" vertical="center" wrapText="1"/>
    </xf>
    <xf numFmtId="0" fontId="23" fillId="34" borderId="10" xfId="0" applyFont="1" applyFill="1" applyBorder="1" applyAlignment="1">
      <alignment horizontal="center" vertical="center" wrapText="1"/>
    </xf>
    <xf numFmtId="4" fontId="63" fillId="34" borderId="10" xfId="53" applyNumberFormat="1" applyFont="1" applyFill="1" applyBorder="1" applyAlignment="1" applyProtection="1">
      <alignment horizontal="right" vertical="center" wrapText="1"/>
      <protection hidden="1"/>
    </xf>
    <xf numFmtId="4" fontId="15" fillId="34" borderId="10" xfId="53" applyNumberFormat="1" applyFont="1" applyFill="1" applyBorder="1" applyAlignment="1" applyProtection="1">
      <alignment horizontal="center" vertical="center" wrapText="1"/>
      <protection hidden="1"/>
    </xf>
    <xf numFmtId="4" fontId="23" fillId="34" borderId="10" xfId="53" applyNumberFormat="1" applyFont="1" applyFill="1" applyBorder="1" applyAlignment="1" applyProtection="1">
      <alignment horizontal="center" vertical="center" wrapText="1"/>
      <protection hidden="1"/>
    </xf>
    <xf numFmtId="4" fontId="11" fillId="34" borderId="10" xfId="0" applyNumberFormat="1" applyFont="1" applyFill="1" applyBorder="1" applyAlignment="1">
      <alignment horizontal="center" vertical="center"/>
    </xf>
    <xf numFmtId="4" fontId="12" fillId="34" borderId="10" xfId="0" applyNumberFormat="1" applyFont="1" applyFill="1" applyBorder="1" applyAlignment="1">
      <alignment horizontal="right" vertical="top" wrapText="1"/>
    </xf>
    <xf numFmtId="4" fontId="13" fillId="34" borderId="10" xfId="0" applyNumberFormat="1" applyFont="1" applyFill="1" applyBorder="1" applyAlignment="1">
      <alignment horizontal="center" vertical="top" wrapText="1"/>
    </xf>
    <xf numFmtId="4" fontId="13" fillId="34" borderId="10" xfId="0" applyNumberFormat="1" applyFont="1" applyFill="1" applyBorder="1" applyAlignment="1">
      <alignment horizontal="center" vertical="center" wrapText="1"/>
    </xf>
    <xf numFmtId="4" fontId="11" fillId="34" borderId="31" xfId="0" applyNumberFormat="1" applyFont="1" applyFill="1" applyBorder="1" applyAlignment="1">
      <alignment horizontal="center" vertical="center" wrapText="1"/>
    </xf>
    <xf numFmtId="4" fontId="11" fillId="34" borderId="12" xfId="0" applyNumberFormat="1" applyFont="1" applyFill="1" applyBorder="1" applyAlignment="1">
      <alignment horizontal="center" vertical="center" wrapText="1"/>
    </xf>
    <xf numFmtId="49" fontId="13" fillId="34" borderId="10" xfId="0" applyNumberFormat="1" applyFont="1" applyFill="1" applyBorder="1" applyAlignment="1">
      <alignment horizontal="left" vertical="center" wrapText="1"/>
    </xf>
    <xf numFmtId="4" fontId="21" fillId="34" borderId="10" xfId="0" applyNumberFormat="1" applyFont="1" applyFill="1" applyBorder="1" applyAlignment="1">
      <alignment vertical="center" wrapText="1"/>
    </xf>
    <xf numFmtId="4" fontId="21" fillId="34" borderId="11" xfId="0" applyNumberFormat="1" applyFont="1" applyFill="1" applyBorder="1" applyAlignment="1">
      <alignment horizontal="left" vertical="center" wrapText="1"/>
    </xf>
    <xf numFmtId="4" fontId="16" fillId="34" borderId="10" xfId="0" applyNumberFormat="1" applyFont="1" applyFill="1" applyBorder="1" applyAlignment="1">
      <alignment horizontal="right" vertical="center"/>
    </xf>
    <xf numFmtId="177" fontId="13" fillId="34" borderId="10" xfId="0" applyNumberFormat="1" applyFont="1" applyFill="1" applyBorder="1" applyAlignment="1">
      <alignment vertical="center"/>
    </xf>
    <xf numFmtId="4" fontId="11" fillId="34" borderId="10" xfId="0" applyNumberFormat="1" applyFont="1" applyFill="1" applyBorder="1" applyAlignment="1">
      <alignment horizontal="right" vertical="center"/>
    </xf>
    <xf numFmtId="4" fontId="10" fillId="34" borderId="10" xfId="55" applyNumberFormat="1" applyFont="1" applyFill="1" applyBorder="1" applyAlignment="1">
      <alignment vertical="center"/>
      <protection/>
    </xf>
    <xf numFmtId="4" fontId="13" fillId="34" borderId="10" xfId="0" applyNumberFormat="1" applyFont="1" applyFill="1" applyBorder="1" applyAlignment="1">
      <alignment horizontal="right" vertical="center"/>
    </xf>
    <xf numFmtId="0" fontId="11" fillId="34" borderId="11" xfId="0" applyFont="1" applyFill="1" applyBorder="1" applyAlignment="1">
      <alignment horizontal="left" vertical="center" wrapText="1"/>
    </xf>
    <xf numFmtId="0" fontId="11" fillId="34" borderId="31"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11" fillId="34" borderId="11"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1" fillId="34" borderId="11" xfId="0" applyFont="1" applyFill="1" applyBorder="1" applyAlignment="1">
      <alignment horizontal="center" vertical="center"/>
    </xf>
    <xf numFmtId="0" fontId="11" fillId="34" borderId="31" xfId="0" applyFont="1" applyFill="1" applyBorder="1" applyAlignment="1">
      <alignment horizontal="center" vertical="center"/>
    </xf>
    <xf numFmtId="4" fontId="11" fillId="34" borderId="11" xfId="0" applyNumberFormat="1" applyFont="1" applyFill="1" applyBorder="1" applyAlignment="1">
      <alignment horizontal="left" vertical="center" wrapText="1"/>
    </xf>
    <xf numFmtId="4" fontId="11" fillId="34" borderId="31" xfId="0" applyNumberFormat="1" applyFont="1" applyFill="1" applyBorder="1" applyAlignment="1">
      <alignment horizontal="left" vertical="center" wrapText="1"/>
    </xf>
    <xf numFmtId="4" fontId="11" fillId="34" borderId="12" xfId="0" applyNumberFormat="1" applyFont="1" applyFill="1" applyBorder="1" applyAlignment="1">
      <alignment horizontal="left" vertical="center" wrapText="1"/>
    </xf>
    <xf numFmtId="178" fontId="11" fillId="34" borderId="11" xfId="0" applyNumberFormat="1" applyFont="1" applyFill="1" applyBorder="1" applyAlignment="1">
      <alignment horizontal="center" vertical="center"/>
    </xf>
    <xf numFmtId="178" fontId="11" fillId="34" borderId="31" xfId="0" applyNumberFormat="1" applyFont="1" applyFill="1" applyBorder="1" applyAlignment="1">
      <alignment horizontal="center" vertical="center"/>
    </xf>
    <xf numFmtId="178" fontId="11" fillId="34" borderId="12" xfId="0" applyNumberFormat="1" applyFont="1" applyFill="1" applyBorder="1" applyAlignment="1">
      <alignment horizontal="center" vertical="center"/>
    </xf>
    <xf numFmtId="4" fontId="13" fillId="34" borderId="11" xfId="0" applyNumberFormat="1" applyFont="1" applyFill="1" applyBorder="1" applyAlignment="1">
      <alignment horizontal="center" vertical="center"/>
    </xf>
    <xf numFmtId="4" fontId="13" fillId="34" borderId="31" xfId="0" applyNumberFormat="1" applyFont="1" applyFill="1" applyBorder="1" applyAlignment="1">
      <alignment horizontal="center" vertical="center"/>
    </xf>
    <xf numFmtId="4" fontId="13" fillId="34" borderId="12" xfId="0"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0" fontId="18" fillId="34" borderId="12" xfId="0" applyFont="1" applyFill="1" applyBorder="1" applyAlignment="1">
      <alignment horizontal="left" vertical="center" wrapText="1"/>
    </xf>
    <xf numFmtId="178" fontId="10" fillId="34" borderId="10" xfId="0" applyNumberFormat="1"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11" xfId="0" applyFont="1" applyFill="1" applyBorder="1" applyAlignment="1">
      <alignment horizontal="left" vertical="center" wrapText="1"/>
    </xf>
    <xf numFmtId="0" fontId="10" fillId="34" borderId="12" xfId="0" applyFont="1" applyFill="1" applyBorder="1" applyAlignment="1">
      <alignment horizontal="left" vertical="center" wrapText="1"/>
    </xf>
    <xf numFmtId="0" fontId="11" fillId="34" borderId="10" xfId="0" applyFont="1" applyFill="1" applyBorder="1" applyAlignment="1">
      <alignment horizontal="center" vertical="center" wrapText="1"/>
    </xf>
    <xf numFmtId="4" fontId="11" fillId="34" borderId="11" xfId="0" applyNumberFormat="1" applyFont="1" applyFill="1" applyBorder="1" applyAlignment="1">
      <alignment horizontal="center" vertical="center"/>
    </xf>
    <xf numFmtId="4" fontId="11" fillId="34" borderId="12" xfId="0" applyNumberFormat="1" applyFont="1" applyFill="1" applyBorder="1" applyAlignment="1">
      <alignment horizontal="center" vertical="center"/>
    </xf>
    <xf numFmtId="0" fontId="19" fillId="34" borderId="31" xfId="0" applyFont="1" applyFill="1" applyBorder="1" applyAlignment="1">
      <alignment horizontal="left" vertical="top" wrapText="1"/>
    </xf>
    <xf numFmtId="0" fontId="19" fillId="34" borderId="12" xfId="0" applyFont="1" applyFill="1" applyBorder="1" applyAlignment="1">
      <alignment horizontal="left" vertical="top" wrapText="1"/>
    </xf>
    <xf numFmtId="178" fontId="10" fillId="34" borderId="11" xfId="0" applyNumberFormat="1" applyFont="1" applyFill="1" applyBorder="1" applyAlignment="1">
      <alignment horizontal="center" vertical="center" wrapText="1"/>
    </xf>
    <xf numFmtId="178" fontId="10" fillId="34" borderId="31" xfId="0" applyNumberFormat="1" applyFont="1" applyFill="1" applyBorder="1" applyAlignment="1">
      <alignment horizontal="center" vertical="center" wrapText="1"/>
    </xf>
    <xf numFmtId="178" fontId="10" fillId="34" borderId="12" xfId="0" applyNumberFormat="1"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31"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1" fillId="34" borderId="11" xfId="0" applyFont="1" applyFill="1" applyBorder="1" applyAlignment="1">
      <alignment vertical="center" wrapText="1"/>
    </xf>
    <xf numFmtId="178" fontId="13" fillId="34" borderId="12" xfId="0" applyNumberFormat="1" applyFont="1" applyFill="1" applyBorder="1" applyAlignment="1">
      <alignment horizontal="center" vertical="center"/>
    </xf>
    <xf numFmtId="49" fontId="10" fillId="34" borderId="11" xfId="55" applyNumberFormat="1" applyFont="1" applyFill="1" applyBorder="1" applyAlignment="1" applyProtection="1">
      <alignment horizontal="center" vertical="center"/>
      <protection hidden="1"/>
    </xf>
    <xf numFmtId="49" fontId="10" fillId="34" borderId="12" xfId="55" applyNumberFormat="1" applyFont="1" applyFill="1" applyBorder="1" applyAlignment="1" applyProtection="1">
      <alignment horizontal="center" vertical="center"/>
      <protection hidden="1"/>
    </xf>
    <xf numFmtId="4" fontId="11" fillId="34" borderId="10" xfId="0" applyNumberFormat="1" applyFont="1" applyFill="1" applyBorder="1" applyAlignment="1">
      <alignment horizontal="center" vertical="center"/>
    </xf>
    <xf numFmtId="4" fontId="10" fillId="34" borderId="12" xfId="0" applyNumberFormat="1" applyFont="1" applyFill="1" applyBorder="1" applyAlignment="1">
      <alignment horizontal="left" vertical="center" wrapText="1"/>
    </xf>
    <xf numFmtId="4" fontId="13" fillId="34" borderId="12" xfId="0" applyNumberFormat="1" applyFont="1" applyFill="1" applyBorder="1" applyAlignment="1">
      <alignment horizontal="center" vertical="center" wrapText="1"/>
    </xf>
    <xf numFmtId="4" fontId="11" fillId="34" borderId="10" xfId="0" applyNumberFormat="1" applyFont="1" applyFill="1" applyBorder="1" applyAlignment="1">
      <alignment vertical="center"/>
    </xf>
    <xf numFmtId="178" fontId="12" fillId="34" borderId="11" xfId="0" applyNumberFormat="1" applyFont="1" applyFill="1" applyBorder="1" applyAlignment="1">
      <alignment horizontal="center" vertical="center" wrapText="1"/>
    </xf>
    <xf numFmtId="178" fontId="12" fillId="34" borderId="12" xfId="0" applyNumberFormat="1" applyFont="1" applyFill="1" applyBorder="1" applyAlignment="1">
      <alignment horizontal="center" vertical="center" wrapText="1"/>
    </xf>
    <xf numFmtId="178" fontId="13" fillId="34" borderId="10" xfId="0" applyNumberFormat="1" applyFont="1" applyFill="1" applyBorder="1" applyAlignment="1">
      <alignment horizontal="center" vertical="center"/>
    </xf>
    <xf numFmtId="0" fontId="11" fillId="34" borderId="10" xfId="0" applyFont="1" applyFill="1" applyBorder="1" applyAlignment="1">
      <alignment horizontal="center" vertical="center"/>
    </xf>
    <xf numFmtId="0" fontId="10" fillId="34" borderId="10" xfId="0" applyFont="1" applyFill="1" applyBorder="1" applyAlignment="1">
      <alignment horizontal="left" vertical="center" wrapText="1"/>
    </xf>
    <xf numFmtId="178" fontId="12" fillId="34" borderId="10" xfId="0" applyNumberFormat="1" applyFont="1" applyFill="1" applyBorder="1" applyAlignment="1">
      <alignment horizontal="center" vertical="center" wrapText="1"/>
    </xf>
    <xf numFmtId="4" fontId="13" fillId="34" borderId="10" xfId="0" applyNumberFormat="1" applyFont="1" applyFill="1" applyBorder="1" applyAlignment="1">
      <alignment horizontal="center" vertical="center"/>
    </xf>
    <xf numFmtId="0" fontId="11" fillId="34" borderId="11" xfId="0" applyFont="1" applyFill="1" applyBorder="1" applyAlignment="1">
      <alignment horizontal="center" vertical="center" wrapText="1"/>
    </xf>
    <xf numFmtId="0" fontId="11" fillId="34" borderId="10" xfId="0" applyFont="1" applyFill="1" applyBorder="1" applyAlignment="1">
      <alignment horizontal="left" vertical="center" wrapText="1"/>
    </xf>
    <xf numFmtId="0" fontId="11" fillId="34" borderId="10" xfId="0" applyFont="1" applyFill="1" applyBorder="1" applyAlignment="1">
      <alignment horizontal="center" vertical="center" wrapText="1"/>
    </xf>
    <xf numFmtId="0" fontId="12" fillId="34" borderId="12" xfId="55" applyNumberFormat="1" applyFont="1" applyFill="1" applyBorder="1" applyAlignment="1" applyProtection="1">
      <alignment horizontal="left" vertical="center" wrapText="1" shrinkToFit="1"/>
      <protection hidden="1"/>
    </xf>
    <xf numFmtId="0" fontId="12" fillId="34" borderId="11" xfId="0" applyNumberFormat="1" applyFont="1" applyFill="1" applyBorder="1" applyAlignment="1" applyProtection="1">
      <alignment horizontal="left" vertical="center" wrapText="1"/>
      <protection/>
    </xf>
    <xf numFmtId="4" fontId="13" fillId="34" borderId="10" xfId="0" applyNumberFormat="1" applyFont="1" applyFill="1" applyBorder="1" applyAlignment="1">
      <alignment horizontal="center" vertical="center" wrapText="1"/>
    </xf>
    <xf numFmtId="0" fontId="13" fillId="34" borderId="10" xfId="0" applyFont="1" applyFill="1" applyBorder="1" applyAlignment="1">
      <alignment horizontal="center" vertical="center" wrapText="1"/>
    </xf>
    <xf numFmtId="178" fontId="12" fillId="34" borderId="10" xfId="53" applyNumberFormat="1" applyFont="1" applyFill="1" applyBorder="1" applyAlignment="1" applyProtection="1">
      <alignment horizontal="center" vertical="center" wrapText="1"/>
      <protection hidden="1"/>
    </xf>
    <xf numFmtId="0" fontId="12" fillId="34" borderId="10" xfId="53" applyNumberFormat="1" applyFont="1" applyFill="1" applyBorder="1" applyAlignment="1" applyProtection="1">
      <alignment horizontal="center" vertical="center" wrapText="1"/>
      <protection hidden="1"/>
    </xf>
    <xf numFmtId="0" fontId="10" fillId="34" borderId="11" xfId="0" applyNumberFormat="1" applyFont="1" applyFill="1" applyBorder="1" applyAlignment="1" applyProtection="1">
      <alignment horizontal="center" vertical="center" wrapText="1"/>
      <protection/>
    </xf>
    <xf numFmtId="0" fontId="12" fillId="34" borderId="21" xfId="53" applyNumberFormat="1" applyFont="1" applyFill="1" applyBorder="1" applyAlignment="1" applyProtection="1">
      <alignment horizontal="center" vertical="center" wrapText="1"/>
      <protection hidden="1"/>
    </xf>
    <xf numFmtId="0" fontId="12" fillId="34" borderId="29" xfId="53" applyNumberFormat="1" applyFont="1" applyFill="1" applyBorder="1" applyAlignment="1" applyProtection="1">
      <alignment horizontal="center" vertical="center" wrapText="1"/>
      <protection hidden="1"/>
    </xf>
    <xf numFmtId="0" fontId="12" fillId="34" borderId="10" xfId="0" applyNumberFormat="1" applyFont="1" applyFill="1" applyBorder="1" applyAlignment="1" applyProtection="1">
      <alignment horizontal="left" vertical="center" wrapText="1"/>
      <protection/>
    </xf>
    <xf numFmtId="0" fontId="65" fillId="34" borderId="11" xfId="0" applyFont="1" applyFill="1" applyBorder="1" applyAlignment="1">
      <alignment horizontal="left" vertical="center" wrapText="1"/>
    </xf>
    <xf numFmtId="0" fontId="11" fillId="34" borderId="10" xfId="0" applyFont="1" applyFill="1" applyBorder="1" applyAlignment="1">
      <alignment vertical="center" wrapText="1"/>
    </xf>
    <xf numFmtId="0" fontId="10" fillId="34" borderId="11" xfId="0" applyFont="1" applyFill="1" applyBorder="1" applyAlignment="1">
      <alignment horizontal="center" vertical="center" wrapText="1"/>
    </xf>
    <xf numFmtId="178" fontId="10" fillId="34" borderId="11" xfId="0" applyNumberFormat="1" applyFont="1" applyFill="1" applyBorder="1" applyAlignment="1">
      <alignment horizontal="center" vertical="center" wrapText="1"/>
    </xf>
    <xf numFmtId="4" fontId="12" fillId="34" borderId="11" xfId="0" applyNumberFormat="1" applyFont="1" applyFill="1" applyBorder="1" applyAlignment="1">
      <alignment horizontal="center" vertical="center"/>
    </xf>
    <xf numFmtId="0" fontId="12" fillId="34" borderId="10" xfId="0" applyNumberFormat="1" applyFont="1" applyFill="1" applyBorder="1" applyAlignment="1" applyProtection="1">
      <alignment horizontal="left" vertical="center" wrapText="1"/>
      <protection/>
    </xf>
    <xf numFmtId="49" fontId="13" fillId="0" borderId="11" xfId="0" applyNumberFormat="1" applyFont="1" applyFill="1" applyBorder="1" applyAlignment="1">
      <alignment horizontal="center" vertical="center" wrapText="1"/>
    </xf>
    <xf numFmtId="178" fontId="12" fillId="34" borderId="29" xfId="53" applyNumberFormat="1" applyFont="1" applyFill="1" applyBorder="1" applyAlignment="1" applyProtection="1">
      <alignment horizontal="center" vertical="center" wrapText="1"/>
      <protection hidden="1"/>
    </xf>
    <xf numFmtId="4" fontId="12" fillId="34" borderId="30" xfId="0" applyNumberFormat="1" applyFont="1" applyFill="1" applyBorder="1" applyAlignment="1">
      <alignment horizontal="center" vertical="center" wrapText="1"/>
    </xf>
    <xf numFmtId="0" fontId="13" fillId="34" borderId="29" xfId="0" applyFont="1" applyFill="1" applyBorder="1" applyAlignment="1">
      <alignment horizontal="center" vertical="center" wrapText="1"/>
    </xf>
    <xf numFmtId="4" fontId="13" fillId="34" borderId="29" xfId="0" applyNumberFormat="1" applyFont="1" applyFill="1" applyBorder="1" applyAlignment="1">
      <alignment horizontal="center" vertical="center" wrapText="1"/>
    </xf>
    <xf numFmtId="4" fontId="13" fillId="34" borderId="30" xfId="0" applyNumberFormat="1" applyFont="1" applyFill="1" applyBorder="1" applyAlignment="1">
      <alignment horizontal="center" vertical="center" wrapText="1"/>
    </xf>
    <xf numFmtId="4" fontId="13" fillId="34" borderId="32" xfId="0" applyNumberFormat="1" applyFont="1" applyFill="1" applyBorder="1" applyAlignment="1">
      <alignment horizontal="center" vertical="center" wrapText="1"/>
    </xf>
    <xf numFmtId="0" fontId="12" fillId="34" borderId="30" xfId="53" applyNumberFormat="1" applyFont="1" applyFill="1" applyBorder="1" applyAlignment="1" applyProtection="1">
      <alignment horizontal="center" vertical="center" wrapText="1"/>
      <protection hidden="1"/>
    </xf>
    <xf numFmtId="49" fontId="10" fillId="34" borderId="21" xfId="0" applyNumberFormat="1" applyFont="1" applyFill="1" applyBorder="1" applyAlignment="1">
      <alignment horizontal="center" vertical="center" wrapText="1"/>
    </xf>
    <xf numFmtId="0" fontId="65" fillId="34" borderId="29" xfId="0" applyFont="1" applyFill="1" applyBorder="1" applyAlignment="1">
      <alignment vertical="center" wrapText="1"/>
    </xf>
    <xf numFmtId="0" fontId="10" fillId="34" borderId="29" xfId="0" applyFont="1" applyFill="1" applyBorder="1" applyAlignment="1">
      <alignment horizontal="center" vertical="center" wrapText="1"/>
    </xf>
    <xf numFmtId="177" fontId="10" fillId="34" borderId="30" xfId="53" applyNumberFormat="1" applyFont="1" applyFill="1" applyBorder="1" applyAlignment="1" applyProtection="1">
      <alignment horizontal="right" vertical="center"/>
      <protection hidden="1"/>
    </xf>
    <xf numFmtId="0" fontId="12" fillId="34" borderId="10" xfId="0" applyFont="1" applyFill="1" applyBorder="1" applyAlignment="1">
      <alignment horizontal="center" vertical="center" wrapText="1"/>
    </xf>
    <xf numFmtId="0" fontId="18" fillId="34" borderId="10" xfId="0" applyFont="1" applyFill="1" applyBorder="1" applyAlignment="1">
      <alignment horizontal="left" vertical="center" wrapText="1"/>
    </xf>
    <xf numFmtId="0" fontId="13" fillId="34" borderId="11" xfId="0" applyFont="1" applyFill="1" applyBorder="1" applyAlignment="1">
      <alignment horizontal="center" vertical="center"/>
    </xf>
    <xf numFmtId="4" fontId="13" fillId="34" borderId="11"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xf>
    <xf numFmtId="0" fontId="6" fillId="0" borderId="0" xfId="53" applyNumberFormat="1" applyFont="1" applyFill="1" applyAlignment="1" applyProtection="1">
      <alignment horizontal="center" vertical="center"/>
      <protection hidden="1"/>
    </xf>
    <xf numFmtId="0" fontId="5" fillId="0" borderId="10" xfId="53" applyNumberFormat="1" applyFont="1" applyFill="1" applyBorder="1" applyAlignment="1" applyProtection="1">
      <alignment horizontal="center" vertical="center" wrapText="1"/>
      <protection hidden="1"/>
    </xf>
    <xf numFmtId="0" fontId="5" fillId="0" borderId="10" xfId="53" applyNumberFormat="1" applyFont="1" applyFill="1" applyBorder="1" applyAlignment="1" applyProtection="1">
      <alignment horizontal="center" vertical="center"/>
      <protection hidden="1"/>
    </xf>
    <xf numFmtId="4" fontId="13" fillId="34" borderId="10" xfId="0" applyNumberFormat="1" applyFont="1" applyFill="1" applyBorder="1" applyAlignment="1">
      <alignment horizontal="left" vertical="center" wrapText="1"/>
    </xf>
    <xf numFmtId="0" fontId="11" fillId="34" borderId="10" xfId="0" applyFont="1" applyFill="1" applyBorder="1" applyAlignment="1">
      <alignment horizontal="left" vertical="center" wrapText="1"/>
    </xf>
    <xf numFmtId="178" fontId="11" fillId="34" borderId="11" xfId="0" applyNumberFormat="1" applyFont="1" applyFill="1" applyBorder="1" applyAlignment="1">
      <alignment horizontal="center" vertical="center" wrapText="1"/>
    </xf>
    <xf numFmtId="178" fontId="11" fillId="34" borderId="31" xfId="0" applyNumberFormat="1" applyFont="1" applyFill="1" applyBorder="1" applyAlignment="1">
      <alignment horizontal="center" vertical="center" wrapText="1"/>
    </xf>
    <xf numFmtId="178" fontId="11" fillId="34" borderId="12" xfId="0" applyNumberFormat="1"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1" fillId="34" borderId="12" xfId="0" applyFont="1" applyFill="1" applyBorder="1" applyAlignment="1">
      <alignment horizontal="center" vertical="center" wrapText="1"/>
    </xf>
    <xf numFmtId="4" fontId="12" fillId="34" borderId="11" xfId="53" applyNumberFormat="1" applyFont="1" applyFill="1" applyBorder="1" applyAlignment="1" applyProtection="1">
      <alignment horizontal="center" vertical="center"/>
      <protection hidden="1"/>
    </xf>
    <xf numFmtId="4" fontId="12" fillId="34" borderId="31" xfId="53" applyNumberFormat="1" applyFont="1" applyFill="1" applyBorder="1" applyAlignment="1" applyProtection="1">
      <alignment horizontal="center" vertical="center"/>
      <protection hidden="1"/>
    </xf>
    <xf numFmtId="4" fontId="12" fillId="34" borderId="12" xfId="53" applyNumberFormat="1" applyFont="1" applyFill="1" applyBorder="1" applyAlignment="1" applyProtection="1">
      <alignment horizontal="center" vertical="center"/>
      <protection hidden="1"/>
    </xf>
    <xf numFmtId="4" fontId="11" fillId="34" borderId="10" xfId="0" applyNumberFormat="1" applyFont="1" applyFill="1" applyBorder="1" applyAlignment="1">
      <alignment horizontal="center" vertical="center"/>
    </xf>
    <xf numFmtId="0" fontId="11" fillId="0" borderId="21"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2" fillId="34" borderId="11" xfId="0" applyFont="1" applyFill="1" applyBorder="1" applyAlignment="1">
      <alignment horizontal="center" vertical="center" wrapText="1"/>
    </xf>
    <xf numFmtId="0" fontId="12" fillId="34" borderId="31" xfId="0" applyFont="1" applyFill="1" applyBorder="1" applyAlignment="1">
      <alignment horizontal="center" vertical="center" wrapText="1"/>
    </xf>
    <xf numFmtId="0" fontId="12" fillId="34" borderId="12" xfId="0"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0" fontId="11" fillId="34" borderId="10" xfId="0" applyFont="1" applyFill="1" applyBorder="1" applyAlignment="1">
      <alignment vertical="center" wrapText="1"/>
    </xf>
    <xf numFmtId="4" fontId="11" fillId="34" borderId="21" xfId="0" applyNumberFormat="1" applyFont="1" applyFill="1" applyBorder="1" applyAlignment="1">
      <alignment horizontal="center" vertical="center"/>
    </xf>
    <xf numFmtId="4" fontId="11" fillId="34" borderId="29" xfId="0" applyNumberFormat="1" applyFont="1" applyFill="1" applyBorder="1" applyAlignment="1">
      <alignment horizontal="center" vertical="center"/>
    </xf>
    <xf numFmtId="4" fontId="11" fillId="34" borderId="18" xfId="0" applyNumberFormat="1" applyFont="1" applyFill="1" applyBorder="1" applyAlignment="1">
      <alignment horizontal="center" vertical="center"/>
    </xf>
    <xf numFmtId="49" fontId="12" fillId="34" borderId="10" xfId="0" applyNumberFormat="1" applyFont="1" applyFill="1" applyBorder="1" applyAlignment="1">
      <alignment horizontal="center" vertical="center" wrapText="1"/>
    </xf>
    <xf numFmtId="178" fontId="12" fillId="34" borderId="10" xfId="0" applyNumberFormat="1" applyFont="1" applyFill="1" applyBorder="1" applyAlignment="1" applyProtection="1">
      <alignment horizontal="center" vertical="center" wrapText="1"/>
      <protection/>
    </xf>
    <xf numFmtId="0" fontId="10" fillId="34" borderId="10" xfId="0" applyNumberFormat="1" applyFont="1" applyFill="1" applyBorder="1" applyAlignment="1" applyProtection="1">
      <alignment horizontal="center" vertical="center" wrapText="1"/>
      <protection/>
    </xf>
    <xf numFmtId="0" fontId="12" fillId="34" borderId="10" xfId="0" applyFont="1" applyFill="1" applyBorder="1" applyAlignment="1">
      <alignment horizontal="center" vertical="center" wrapText="1"/>
    </xf>
    <xf numFmtId="178" fontId="11" fillId="34" borderId="11" xfId="0" applyNumberFormat="1" applyFont="1" applyFill="1" applyBorder="1" applyAlignment="1">
      <alignment horizontal="center" vertical="center"/>
    </xf>
    <xf numFmtId="178" fontId="11" fillId="34" borderId="31" xfId="0" applyNumberFormat="1" applyFont="1" applyFill="1" applyBorder="1" applyAlignment="1">
      <alignment horizontal="center" vertical="center"/>
    </xf>
    <xf numFmtId="178" fontId="11" fillId="34" borderId="12" xfId="0" applyNumberFormat="1" applyFont="1" applyFill="1" applyBorder="1" applyAlignment="1">
      <alignment horizontal="center" vertical="center"/>
    </xf>
    <xf numFmtId="0" fontId="10" fillId="34" borderId="11" xfId="0" applyFont="1" applyFill="1" applyBorder="1" applyAlignment="1">
      <alignment horizontal="center" vertical="center" wrapText="1"/>
    </xf>
    <xf numFmtId="0" fontId="10" fillId="34" borderId="31" xfId="0" applyFont="1" applyFill="1" applyBorder="1" applyAlignment="1">
      <alignment horizontal="center" vertical="center" wrapText="1"/>
    </xf>
    <xf numFmtId="0" fontId="10" fillId="34" borderId="12" xfId="0"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178" fontId="10" fillId="34" borderId="10" xfId="0" applyNumberFormat="1" applyFont="1" applyFill="1" applyBorder="1" applyAlignment="1">
      <alignment horizontal="center" vertical="center" wrapText="1"/>
    </xf>
    <xf numFmtId="0" fontId="10" fillId="34" borderId="10" xfId="0" applyFont="1" applyFill="1" applyBorder="1" applyAlignment="1">
      <alignment horizontal="center" vertical="center" wrapText="1"/>
    </xf>
    <xf numFmtId="4" fontId="12" fillId="34" borderId="10" xfId="0" applyNumberFormat="1" applyFont="1" applyFill="1" applyBorder="1" applyAlignment="1">
      <alignment horizontal="right" vertical="center"/>
    </xf>
    <xf numFmtId="172" fontId="12" fillId="34" borderId="11" xfId="54" applyNumberFormat="1" applyFont="1" applyFill="1" applyBorder="1" applyAlignment="1" applyProtection="1">
      <alignment horizontal="left" vertical="center" wrapText="1"/>
      <protection hidden="1"/>
    </xf>
    <xf numFmtId="172" fontId="12" fillId="34" borderId="31" xfId="54" applyNumberFormat="1" applyFont="1" applyFill="1" applyBorder="1" applyAlignment="1" applyProtection="1">
      <alignment horizontal="left" vertical="center" wrapText="1"/>
      <protection hidden="1"/>
    </xf>
    <xf numFmtId="172" fontId="12" fillId="34" borderId="12" xfId="54" applyNumberFormat="1" applyFont="1" applyFill="1" applyBorder="1" applyAlignment="1" applyProtection="1">
      <alignment horizontal="left" vertical="center" wrapText="1"/>
      <protection hidden="1"/>
    </xf>
    <xf numFmtId="178" fontId="12" fillId="34" borderId="11" xfId="0" applyNumberFormat="1" applyFont="1" applyFill="1" applyBorder="1" applyAlignment="1">
      <alignment horizontal="center" vertical="center" wrapText="1"/>
    </xf>
    <xf numFmtId="178" fontId="12" fillId="34" borderId="31" xfId="0" applyNumberFormat="1" applyFont="1" applyFill="1" applyBorder="1" applyAlignment="1">
      <alignment horizontal="center" vertical="center" wrapText="1"/>
    </xf>
    <xf numFmtId="178" fontId="12" fillId="34" borderId="12" xfId="0" applyNumberFormat="1" applyFont="1" applyFill="1" applyBorder="1" applyAlignment="1">
      <alignment horizontal="center" vertical="center" wrapText="1"/>
    </xf>
    <xf numFmtId="49" fontId="10" fillId="34" borderId="11" xfId="0" applyNumberFormat="1" applyFont="1" applyFill="1" applyBorder="1" applyAlignment="1">
      <alignment horizontal="center" vertical="center" wrapText="1"/>
    </xf>
    <xf numFmtId="49" fontId="10" fillId="34" borderId="31" xfId="0" applyNumberFormat="1" applyFont="1" applyFill="1" applyBorder="1" applyAlignment="1">
      <alignment horizontal="center" vertical="center" wrapText="1"/>
    </xf>
    <xf numFmtId="49" fontId="10" fillId="34" borderId="12" xfId="0" applyNumberFormat="1" applyFont="1" applyFill="1" applyBorder="1" applyAlignment="1">
      <alignment horizontal="center" vertical="center" wrapText="1"/>
    </xf>
    <xf numFmtId="0" fontId="65" fillId="34" borderId="11" xfId="0" applyFont="1" applyFill="1" applyBorder="1" applyAlignment="1">
      <alignment horizontal="left" vertical="center" wrapText="1"/>
    </xf>
    <xf numFmtId="0" fontId="65" fillId="34" borderId="31" xfId="0" applyFont="1" applyFill="1" applyBorder="1" applyAlignment="1">
      <alignment horizontal="left" vertical="center" wrapText="1"/>
    </xf>
    <xf numFmtId="0" fontId="65" fillId="34" borderId="12" xfId="0" applyFont="1" applyFill="1" applyBorder="1" applyAlignment="1">
      <alignment horizontal="left" vertical="center" wrapText="1"/>
    </xf>
    <xf numFmtId="49" fontId="11" fillId="34" borderId="11" xfId="0" applyNumberFormat="1" applyFont="1" applyFill="1" applyBorder="1" applyAlignment="1">
      <alignment horizontal="center" vertical="center"/>
    </xf>
    <xf numFmtId="49" fontId="11" fillId="34" borderId="31" xfId="0" applyNumberFormat="1" applyFont="1" applyFill="1" applyBorder="1" applyAlignment="1">
      <alignment horizontal="center" vertical="center"/>
    </xf>
    <xf numFmtId="49" fontId="11" fillId="34" borderId="12" xfId="0" applyNumberFormat="1" applyFont="1" applyFill="1" applyBorder="1" applyAlignment="1">
      <alignment horizontal="center" vertical="center"/>
    </xf>
    <xf numFmtId="178" fontId="10" fillId="34" borderId="11" xfId="0" applyNumberFormat="1" applyFont="1" applyFill="1" applyBorder="1" applyAlignment="1">
      <alignment horizontal="center" vertical="center" wrapText="1"/>
    </xf>
    <xf numFmtId="178" fontId="10" fillId="34" borderId="31" xfId="0" applyNumberFormat="1" applyFont="1" applyFill="1" applyBorder="1" applyAlignment="1">
      <alignment horizontal="center" vertical="center" wrapText="1"/>
    </xf>
    <xf numFmtId="178" fontId="10" fillId="34" borderId="12"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 fontId="11" fillId="34" borderId="11" xfId="0" applyNumberFormat="1" applyFont="1" applyFill="1" applyBorder="1" applyAlignment="1">
      <alignment horizontal="center" vertical="center"/>
    </xf>
    <xf numFmtId="4" fontId="11" fillId="34" borderId="31" xfId="0" applyNumberFormat="1" applyFont="1" applyFill="1" applyBorder="1" applyAlignment="1">
      <alignment horizontal="center" vertical="center"/>
    </xf>
    <xf numFmtId="4" fontId="11" fillId="34" borderId="12"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wrapText="1"/>
    </xf>
    <xf numFmtId="0" fontId="19" fillId="34" borderId="11" xfId="0" applyFont="1" applyFill="1" applyBorder="1" applyAlignment="1">
      <alignment horizontal="left" vertical="top" wrapText="1"/>
    </xf>
    <xf numFmtId="0" fontId="19" fillId="34" borderId="31" xfId="0" applyFont="1" applyFill="1" applyBorder="1" applyAlignment="1">
      <alignment horizontal="left" vertical="top" wrapText="1"/>
    </xf>
    <xf numFmtId="0" fontId="19" fillId="34" borderId="12" xfId="0" applyFont="1" applyFill="1" applyBorder="1" applyAlignment="1">
      <alignment horizontal="left" vertical="top" wrapText="1"/>
    </xf>
    <xf numFmtId="0" fontId="12" fillId="34" borderId="21" xfId="53" applyNumberFormat="1" applyFont="1" applyFill="1" applyBorder="1" applyAlignment="1" applyProtection="1">
      <alignment horizontal="center" vertical="center" wrapText="1"/>
      <protection hidden="1"/>
    </xf>
    <xf numFmtId="0" fontId="12" fillId="34" borderId="29" xfId="53" applyNumberFormat="1" applyFont="1" applyFill="1" applyBorder="1" applyAlignment="1" applyProtection="1">
      <alignment horizontal="center" vertical="center" wrapText="1"/>
      <protection hidden="1"/>
    </xf>
    <xf numFmtId="0" fontId="11" fillId="0" borderId="10" xfId="0" applyFont="1" applyFill="1" applyBorder="1" applyAlignment="1">
      <alignment horizontal="center" vertical="center" wrapText="1"/>
    </xf>
    <xf numFmtId="0" fontId="19" fillId="34" borderId="11" xfId="0" applyFont="1" applyFill="1" applyBorder="1" applyAlignment="1">
      <alignment horizontal="left" vertical="center" wrapText="1"/>
    </xf>
    <xf numFmtId="0" fontId="19" fillId="34" borderId="31" xfId="0" applyFont="1" applyFill="1" applyBorder="1" applyAlignment="1">
      <alignment horizontal="left" vertical="center" wrapText="1"/>
    </xf>
    <xf numFmtId="0" fontId="19" fillId="34" borderId="12" xfId="0" applyFont="1" applyFill="1" applyBorder="1" applyAlignment="1">
      <alignment horizontal="left" vertical="center" wrapText="1"/>
    </xf>
    <xf numFmtId="49" fontId="12" fillId="34" borderId="31" xfId="0" applyNumberFormat="1" applyFont="1" applyFill="1" applyBorder="1" applyAlignment="1">
      <alignment horizontal="center" vertical="center" wrapText="1"/>
    </xf>
    <xf numFmtId="178" fontId="12" fillId="34" borderId="31" xfId="0" applyNumberFormat="1" applyFont="1" applyFill="1" applyBorder="1" applyAlignment="1" applyProtection="1">
      <alignment horizontal="center" vertical="center" wrapText="1"/>
      <protection/>
    </xf>
    <xf numFmtId="0" fontId="10" fillId="34" borderId="31" xfId="0" applyNumberFormat="1" applyFont="1" applyFill="1" applyBorder="1" applyAlignment="1" applyProtection="1">
      <alignment horizontal="center" vertical="center" wrapText="1"/>
      <protection/>
    </xf>
    <xf numFmtId="49" fontId="13" fillId="0" borderId="10" xfId="0" applyNumberFormat="1" applyFont="1" applyFill="1" applyBorder="1" applyAlignment="1">
      <alignment horizontal="center" vertical="center" wrapText="1"/>
    </xf>
    <xf numFmtId="0" fontId="11" fillId="34" borderId="11" xfId="0" applyFont="1" applyFill="1" applyBorder="1" applyAlignment="1">
      <alignment horizontal="left" vertical="top" wrapText="1"/>
    </xf>
    <xf numFmtId="0" fontId="11" fillId="34" borderId="31" xfId="0" applyFont="1" applyFill="1" applyBorder="1" applyAlignment="1">
      <alignment horizontal="left" vertical="top" wrapText="1"/>
    </xf>
    <xf numFmtId="0" fontId="11" fillId="34" borderId="12" xfId="0" applyFont="1" applyFill="1" applyBorder="1" applyAlignment="1">
      <alignment horizontal="left" vertical="top" wrapText="1"/>
    </xf>
    <xf numFmtId="0" fontId="11" fillId="34" borderId="11" xfId="0" applyFont="1" applyFill="1" applyBorder="1" applyAlignment="1">
      <alignment horizontal="center" vertical="center"/>
    </xf>
    <xf numFmtId="0" fontId="11" fillId="34" borderId="31" xfId="0" applyFont="1" applyFill="1" applyBorder="1" applyAlignment="1">
      <alignment horizontal="center" vertical="center"/>
    </xf>
    <xf numFmtId="0" fontId="11" fillId="34" borderId="12" xfId="0" applyFont="1" applyFill="1" applyBorder="1" applyAlignment="1">
      <alignment horizontal="center" vertical="center"/>
    </xf>
    <xf numFmtId="0" fontId="10" fillId="34" borderId="11" xfId="0" applyFont="1" applyFill="1" applyBorder="1" applyAlignment="1">
      <alignment horizontal="left" vertical="top" wrapText="1"/>
    </xf>
    <xf numFmtId="0" fontId="10" fillId="34" borderId="31" xfId="0" applyFont="1" applyFill="1" applyBorder="1" applyAlignment="1">
      <alignment horizontal="left" vertical="top" wrapText="1"/>
    </xf>
    <xf numFmtId="0" fontId="10" fillId="34" borderId="12" xfId="0" applyFont="1" applyFill="1" applyBorder="1" applyAlignment="1">
      <alignment horizontal="left" vertical="top" wrapText="1"/>
    </xf>
    <xf numFmtId="178" fontId="10" fillId="34" borderId="11" xfId="0" applyNumberFormat="1" applyFont="1" applyFill="1" applyBorder="1" applyAlignment="1">
      <alignment horizontal="center" vertical="center"/>
    </xf>
    <xf numFmtId="178" fontId="10" fillId="34" borderId="31" xfId="0" applyNumberFormat="1" applyFont="1" applyFill="1" applyBorder="1" applyAlignment="1">
      <alignment horizontal="center" vertical="center"/>
    </xf>
    <xf numFmtId="178" fontId="10" fillId="34" borderId="12" xfId="0" applyNumberFormat="1" applyFont="1" applyFill="1" applyBorder="1" applyAlignment="1">
      <alignment horizontal="center" vertical="center"/>
    </xf>
    <xf numFmtId="0" fontId="10" fillId="34" borderId="11" xfId="0" applyFont="1" applyFill="1" applyBorder="1" applyAlignment="1">
      <alignment horizontal="center" vertical="center"/>
    </xf>
    <xf numFmtId="0" fontId="10" fillId="34" borderId="31" xfId="0" applyFont="1" applyFill="1" applyBorder="1" applyAlignment="1">
      <alignment horizontal="center" vertical="center"/>
    </xf>
    <xf numFmtId="0" fontId="10" fillId="34" borderId="12" xfId="0" applyFont="1" applyFill="1" applyBorder="1" applyAlignment="1">
      <alignment horizontal="center" vertical="center"/>
    </xf>
    <xf numFmtId="0" fontId="11" fillId="34" borderId="11"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34" borderId="11" xfId="0" applyFont="1" applyFill="1" applyBorder="1" applyAlignment="1">
      <alignment horizontal="left" vertical="center" wrapText="1"/>
    </xf>
    <xf numFmtId="0" fontId="13" fillId="34" borderId="31" xfId="0" applyFont="1" applyFill="1" applyBorder="1" applyAlignment="1">
      <alignment horizontal="left" vertical="center" wrapText="1"/>
    </xf>
    <xf numFmtId="0" fontId="13" fillId="34" borderId="12" xfId="0" applyFont="1" applyFill="1" applyBorder="1" applyAlignment="1">
      <alignment horizontal="left" vertical="center" wrapText="1"/>
    </xf>
    <xf numFmtId="0" fontId="11" fillId="34" borderId="11" xfId="0" applyFont="1" applyFill="1" applyBorder="1" applyAlignment="1">
      <alignment horizontal="left" vertical="center" wrapText="1"/>
    </xf>
    <xf numFmtId="0" fontId="11" fillId="34" borderId="31"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11" fillId="34" borderId="11" xfId="0" applyFont="1" applyFill="1" applyBorder="1" applyAlignment="1">
      <alignment vertical="center" wrapText="1"/>
    </xf>
    <xf numFmtId="0" fontId="11" fillId="34" borderId="31" xfId="0" applyFont="1" applyFill="1" applyBorder="1" applyAlignment="1">
      <alignment vertical="center" wrapText="1"/>
    </xf>
    <xf numFmtId="0" fontId="11" fillId="34" borderId="12" xfId="0" applyFont="1" applyFill="1" applyBorder="1" applyAlignment="1">
      <alignment vertical="center" wrapText="1"/>
    </xf>
    <xf numFmtId="0" fontId="11" fillId="0" borderId="31" xfId="0" applyFont="1" applyFill="1" applyBorder="1" applyAlignment="1">
      <alignment horizontal="center" vertical="center" wrapText="1"/>
    </xf>
    <xf numFmtId="0" fontId="11" fillId="0" borderId="12" xfId="0" applyFont="1" applyFill="1" applyBorder="1" applyAlignment="1">
      <alignment horizontal="center" vertical="center" wrapText="1"/>
    </xf>
    <xf numFmtId="49" fontId="13" fillId="34" borderId="11" xfId="0" applyNumberFormat="1" applyFont="1" applyFill="1" applyBorder="1" applyAlignment="1">
      <alignment horizontal="center" vertical="center" wrapText="1"/>
    </xf>
    <xf numFmtId="49" fontId="13" fillId="34" borderId="31" xfId="0" applyNumberFormat="1" applyFont="1" applyFill="1" applyBorder="1" applyAlignment="1">
      <alignment horizontal="center" vertical="center" wrapText="1"/>
    </xf>
    <xf numFmtId="49" fontId="13" fillId="34" borderId="12" xfId="0" applyNumberFormat="1" applyFont="1" applyFill="1" applyBorder="1" applyAlignment="1">
      <alignment horizontal="center" vertical="center" wrapText="1"/>
    </xf>
    <xf numFmtId="49" fontId="13" fillId="34" borderId="11" xfId="0" applyNumberFormat="1" applyFont="1" applyFill="1" applyBorder="1" applyAlignment="1">
      <alignment horizontal="center" vertical="center"/>
    </xf>
    <xf numFmtId="49" fontId="13" fillId="34" borderId="31" xfId="0" applyNumberFormat="1" applyFont="1" applyFill="1" applyBorder="1" applyAlignment="1">
      <alignment horizontal="center" vertical="center"/>
    </xf>
    <xf numFmtId="49" fontId="13" fillId="34" borderId="12" xfId="0" applyNumberFormat="1" applyFont="1" applyFill="1" applyBorder="1" applyAlignment="1">
      <alignment horizontal="center" vertical="center"/>
    </xf>
    <xf numFmtId="4" fontId="13" fillId="34" borderId="11" xfId="0" applyNumberFormat="1" applyFont="1" applyFill="1" applyBorder="1" applyAlignment="1">
      <alignment horizontal="left" vertical="center"/>
    </xf>
    <xf numFmtId="4" fontId="13" fillId="34" borderId="31" xfId="0" applyNumberFormat="1" applyFont="1" applyFill="1" applyBorder="1" applyAlignment="1">
      <alignment horizontal="left" vertical="center"/>
    </xf>
    <xf numFmtId="4" fontId="13" fillId="34" borderId="12" xfId="0" applyNumberFormat="1" applyFont="1" applyFill="1" applyBorder="1" applyAlignment="1">
      <alignment horizontal="left" vertical="center"/>
    </xf>
    <xf numFmtId="178" fontId="13" fillId="34" borderId="11" xfId="0" applyNumberFormat="1" applyFont="1" applyFill="1" applyBorder="1" applyAlignment="1">
      <alignment horizontal="center" vertical="center"/>
    </xf>
    <xf numFmtId="178" fontId="13" fillId="34" borderId="31" xfId="0" applyNumberFormat="1" applyFont="1" applyFill="1" applyBorder="1" applyAlignment="1">
      <alignment horizontal="center" vertical="center"/>
    </xf>
    <xf numFmtId="178" fontId="13" fillId="34" borderId="12" xfId="0" applyNumberFormat="1" applyFont="1" applyFill="1" applyBorder="1" applyAlignment="1">
      <alignment horizontal="center" vertical="center"/>
    </xf>
    <xf numFmtId="49" fontId="11" fillId="34" borderId="11" xfId="0" applyNumberFormat="1" applyFont="1" applyFill="1" applyBorder="1" applyAlignment="1">
      <alignment horizontal="left" vertical="center" wrapText="1"/>
    </xf>
    <xf numFmtId="49" fontId="11" fillId="34" borderId="31" xfId="0" applyNumberFormat="1" applyFont="1" applyFill="1" applyBorder="1" applyAlignment="1">
      <alignment horizontal="left" vertical="center" wrapText="1"/>
    </xf>
    <xf numFmtId="49" fontId="11" fillId="34" borderId="12" xfId="0" applyNumberFormat="1" applyFont="1" applyFill="1" applyBorder="1" applyAlignment="1">
      <alignment horizontal="left" vertical="center" wrapText="1"/>
    </xf>
    <xf numFmtId="49" fontId="11" fillId="34" borderId="11" xfId="0" applyNumberFormat="1" applyFont="1" applyFill="1" applyBorder="1" applyAlignment="1">
      <alignment horizontal="center" vertical="center" wrapText="1"/>
    </xf>
    <xf numFmtId="49" fontId="11" fillId="34" borderId="31" xfId="0" applyNumberFormat="1" applyFont="1" applyFill="1" applyBorder="1" applyAlignment="1">
      <alignment horizontal="center" vertical="center" wrapText="1"/>
    </xf>
    <xf numFmtId="49" fontId="11" fillId="34" borderId="12" xfId="0" applyNumberFormat="1" applyFont="1" applyFill="1" applyBorder="1" applyAlignment="1">
      <alignment horizontal="center" vertical="center" wrapText="1"/>
    </xf>
    <xf numFmtId="4" fontId="13" fillId="34" borderId="11" xfId="0" applyNumberFormat="1" applyFont="1" applyFill="1" applyBorder="1" applyAlignment="1">
      <alignment horizontal="left" vertical="center" wrapText="1"/>
    </xf>
    <xf numFmtId="4" fontId="13" fillId="34" borderId="31" xfId="0" applyNumberFormat="1" applyFont="1" applyFill="1" applyBorder="1" applyAlignment="1">
      <alignment horizontal="left" vertical="center" wrapText="1"/>
    </xf>
    <xf numFmtId="4" fontId="13" fillId="34" borderId="12" xfId="0" applyNumberFormat="1" applyFont="1" applyFill="1" applyBorder="1" applyAlignment="1">
      <alignment horizontal="left" vertical="center" wrapText="1"/>
    </xf>
    <xf numFmtId="4" fontId="13" fillId="34" borderId="11" xfId="0" applyNumberFormat="1" applyFont="1" applyFill="1" applyBorder="1" applyAlignment="1">
      <alignment horizontal="center" vertical="center"/>
    </xf>
    <xf numFmtId="4" fontId="13" fillId="34" borderId="31" xfId="0" applyNumberFormat="1" applyFont="1" applyFill="1" applyBorder="1" applyAlignment="1">
      <alignment horizontal="center" vertical="center"/>
    </xf>
    <xf numFmtId="4" fontId="13" fillId="34" borderId="12" xfId="0" applyNumberFormat="1" applyFont="1" applyFill="1" applyBorder="1" applyAlignment="1">
      <alignment horizontal="center" vertical="center"/>
    </xf>
    <xf numFmtId="0" fontId="11" fillId="0" borderId="11" xfId="0"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49" fontId="13" fillId="0" borderId="31"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0" fontId="13" fillId="34" borderId="11" xfId="0" applyFont="1" applyFill="1" applyBorder="1" applyAlignment="1">
      <alignment horizontal="left" vertical="top" wrapText="1"/>
    </xf>
    <xf numFmtId="0" fontId="13" fillId="34" borderId="12" xfId="0" applyFont="1" applyFill="1" applyBorder="1" applyAlignment="1">
      <alignment horizontal="left" vertical="top" wrapText="1"/>
    </xf>
    <xf numFmtId="0" fontId="18" fillId="34" borderId="11" xfId="0" applyFont="1" applyFill="1" applyBorder="1" applyAlignment="1">
      <alignment horizontal="left" vertical="center" wrapText="1"/>
    </xf>
    <xf numFmtId="0" fontId="18" fillId="34" borderId="31" xfId="0" applyFont="1" applyFill="1" applyBorder="1" applyAlignment="1">
      <alignment horizontal="left" vertical="center" wrapText="1"/>
    </xf>
    <xf numFmtId="0" fontId="18" fillId="34" borderId="12" xfId="0" applyFont="1" applyFill="1" applyBorder="1" applyAlignment="1">
      <alignment horizontal="left" vertical="center" wrapText="1"/>
    </xf>
    <xf numFmtId="172" fontId="10" fillId="34" borderId="11" xfId="53" applyNumberFormat="1" applyFont="1" applyFill="1" applyBorder="1" applyAlignment="1" applyProtection="1">
      <alignment horizontal="left" vertical="center" wrapText="1"/>
      <protection hidden="1"/>
    </xf>
    <xf numFmtId="172" fontId="10" fillId="34" borderId="31" xfId="53" applyNumberFormat="1" applyFont="1" applyFill="1" applyBorder="1" applyAlignment="1" applyProtection="1">
      <alignment horizontal="left" vertical="center" wrapText="1"/>
      <protection hidden="1"/>
    </xf>
    <xf numFmtId="172" fontId="10" fillId="34" borderId="12" xfId="53" applyNumberFormat="1" applyFont="1" applyFill="1" applyBorder="1" applyAlignment="1" applyProtection="1">
      <alignment horizontal="left" vertical="center" wrapText="1"/>
      <protection hidden="1"/>
    </xf>
    <xf numFmtId="0" fontId="10" fillId="34" borderId="11" xfId="0" applyFont="1" applyFill="1" applyBorder="1" applyAlignment="1">
      <alignment horizontal="left" vertical="center" wrapText="1"/>
    </xf>
    <xf numFmtId="0" fontId="10" fillId="34" borderId="31" xfId="0" applyFont="1" applyFill="1" applyBorder="1" applyAlignment="1">
      <alignment horizontal="left" vertical="center" wrapText="1"/>
    </xf>
    <xf numFmtId="0" fontId="10" fillId="34" borderId="12" xfId="0" applyFont="1" applyFill="1" applyBorder="1" applyAlignment="1">
      <alignment horizontal="left" vertical="center" wrapText="1"/>
    </xf>
    <xf numFmtId="0" fontId="12" fillId="34" borderId="11" xfId="0" applyNumberFormat="1" applyFont="1" applyFill="1" applyBorder="1" applyAlignment="1" applyProtection="1">
      <alignment horizontal="left" vertical="center" wrapText="1"/>
      <protection/>
    </xf>
    <xf numFmtId="0" fontId="12" fillId="34" borderId="31" xfId="0" applyNumberFormat="1" applyFont="1" applyFill="1" applyBorder="1" applyAlignment="1" applyProtection="1">
      <alignment horizontal="left" vertical="center" wrapText="1"/>
      <protection/>
    </xf>
    <xf numFmtId="0" fontId="12" fillId="34" borderId="12" xfId="0" applyNumberFormat="1" applyFont="1" applyFill="1" applyBorder="1" applyAlignment="1" applyProtection="1">
      <alignment horizontal="left" vertical="center" wrapText="1"/>
      <protection/>
    </xf>
    <xf numFmtId="178" fontId="12" fillId="34" borderId="10" xfId="0" applyNumberFormat="1"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10" xfId="0" applyFont="1" applyFill="1" applyBorder="1" applyAlignment="1">
      <alignment horizontal="center" vertical="center" wrapText="1"/>
    </xf>
    <xf numFmtId="49" fontId="10" fillId="34" borderId="11" xfId="55" applyNumberFormat="1" applyFont="1" applyFill="1" applyBorder="1" applyAlignment="1" applyProtection="1">
      <alignment horizontal="center" vertical="center"/>
      <protection hidden="1"/>
    </xf>
    <xf numFmtId="49" fontId="10" fillId="34" borderId="31" xfId="55" applyNumberFormat="1" applyFont="1" applyFill="1" applyBorder="1" applyAlignment="1" applyProtection="1">
      <alignment horizontal="center" vertical="center"/>
      <protection hidden="1"/>
    </xf>
    <xf numFmtId="49" fontId="10" fillId="34" borderId="12" xfId="55" applyNumberFormat="1" applyFont="1" applyFill="1" applyBorder="1" applyAlignment="1" applyProtection="1">
      <alignment horizontal="center" vertical="center"/>
      <protection hidden="1"/>
    </xf>
    <xf numFmtId="4" fontId="13" fillId="34" borderId="21" xfId="0" applyNumberFormat="1" applyFont="1" applyFill="1" applyBorder="1" applyAlignment="1">
      <alignment horizontal="center" vertical="center"/>
    </xf>
    <xf numFmtId="4" fontId="13" fillId="34" borderId="29" xfId="0" applyNumberFormat="1" applyFont="1" applyFill="1" applyBorder="1" applyAlignment="1">
      <alignment horizontal="center" vertical="center"/>
    </xf>
    <xf numFmtId="4" fontId="13" fillId="34" borderId="18" xfId="0" applyNumberFormat="1" applyFont="1" applyFill="1" applyBorder="1" applyAlignment="1">
      <alignment horizontal="center" vertical="center"/>
    </xf>
    <xf numFmtId="49" fontId="13" fillId="34" borderId="10" xfId="0" applyNumberFormat="1" applyFont="1" applyFill="1" applyBorder="1" applyAlignment="1">
      <alignment horizontal="center" vertical="center"/>
    </xf>
    <xf numFmtId="178" fontId="13" fillId="34" borderId="10" xfId="0" applyNumberFormat="1" applyFont="1" applyFill="1" applyBorder="1" applyAlignment="1">
      <alignment horizontal="center" vertical="center"/>
    </xf>
    <xf numFmtId="0" fontId="11" fillId="34" borderId="10" xfId="0" applyFont="1" applyFill="1" applyBorder="1" applyAlignment="1">
      <alignment horizontal="center" vertical="center"/>
    </xf>
    <xf numFmtId="0" fontId="12" fillId="0" borderId="21"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34" borderId="21" xfId="0" applyFont="1" applyFill="1" applyBorder="1" applyAlignment="1">
      <alignment horizontal="center" vertical="center" wrapText="1"/>
    </xf>
    <xf numFmtId="0" fontId="12" fillId="34" borderId="29" xfId="0" applyFont="1" applyFill="1" applyBorder="1" applyAlignment="1">
      <alignment horizontal="center" vertical="center" wrapText="1"/>
    </xf>
    <xf numFmtId="49" fontId="13" fillId="0" borderId="10" xfId="0" applyNumberFormat="1" applyFont="1" applyFill="1" applyBorder="1" applyAlignment="1">
      <alignment horizontal="center" vertical="center"/>
    </xf>
    <xf numFmtId="4" fontId="13" fillId="34" borderId="10" xfId="0" applyNumberFormat="1"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12" xfId="0" applyFont="1" applyFill="1" applyBorder="1" applyAlignment="1">
      <alignment horizontal="center" vertical="center" wrapText="1"/>
    </xf>
    <xf numFmtId="4" fontId="11" fillId="34" borderId="11" xfId="0" applyNumberFormat="1" applyFont="1" applyFill="1" applyBorder="1" applyAlignment="1">
      <alignment horizontal="left" vertical="center" wrapText="1"/>
    </xf>
    <xf numFmtId="4" fontId="11" fillId="34" borderId="31" xfId="0" applyNumberFormat="1" applyFont="1" applyFill="1" applyBorder="1" applyAlignment="1">
      <alignment horizontal="left" vertical="center" wrapText="1"/>
    </xf>
    <xf numFmtId="4" fontId="11" fillId="34" borderId="12" xfId="0" applyNumberFormat="1" applyFont="1" applyFill="1" applyBorder="1" applyAlignment="1">
      <alignment horizontal="left" vertical="center" wrapText="1"/>
    </xf>
    <xf numFmtId="4" fontId="11" fillId="34" borderId="11" xfId="0" applyNumberFormat="1" applyFont="1" applyFill="1" applyBorder="1" applyAlignment="1">
      <alignment horizontal="left" vertical="center"/>
    </xf>
    <xf numFmtId="4" fontId="11" fillId="34" borderId="31" xfId="0" applyNumberFormat="1" applyFont="1" applyFill="1" applyBorder="1" applyAlignment="1">
      <alignment horizontal="left" vertical="center"/>
    </xf>
    <xf numFmtId="4" fontId="11" fillId="34" borderId="12" xfId="0" applyNumberFormat="1" applyFont="1" applyFill="1" applyBorder="1" applyAlignment="1">
      <alignment horizontal="left" vertical="center"/>
    </xf>
    <xf numFmtId="4" fontId="10" fillId="34" borderId="11" xfId="0" applyNumberFormat="1" applyFont="1" applyFill="1" applyBorder="1" applyAlignment="1">
      <alignment horizontal="left" vertical="center" wrapText="1"/>
    </xf>
    <xf numFmtId="4" fontId="10" fillId="34" borderId="31" xfId="0" applyNumberFormat="1" applyFont="1" applyFill="1" applyBorder="1" applyAlignment="1">
      <alignment horizontal="left" vertical="center" wrapText="1"/>
    </xf>
    <xf numFmtId="4" fontId="10" fillId="34" borderId="12" xfId="0" applyNumberFormat="1" applyFont="1" applyFill="1" applyBorder="1" applyAlignment="1">
      <alignment horizontal="left" vertical="center" wrapText="1"/>
    </xf>
    <xf numFmtId="4" fontId="12" fillId="34" borderId="11" xfId="0" applyNumberFormat="1" applyFont="1" applyFill="1" applyBorder="1" applyAlignment="1">
      <alignment horizontal="center" vertical="center"/>
    </xf>
    <xf numFmtId="4" fontId="12" fillId="34" borderId="31" xfId="0" applyNumberFormat="1" applyFont="1" applyFill="1" applyBorder="1" applyAlignment="1">
      <alignment horizontal="center" vertical="center"/>
    </xf>
    <xf numFmtId="4" fontId="12" fillId="34" borderId="12" xfId="0" applyNumberFormat="1" applyFont="1" applyFill="1" applyBorder="1" applyAlignment="1">
      <alignment horizontal="center" vertical="center"/>
    </xf>
    <xf numFmtId="4" fontId="11" fillId="34" borderId="11" xfId="0" applyNumberFormat="1" applyFont="1" applyFill="1" applyBorder="1" applyAlignment="1">
      <alignment horizontal="left" vertical="top" wrapText="1"/>
    </xf>
    <xf numFmtId="4" fontId="11" fillId="34" borderId="31" xfId="0" applyNumberFormat="1" applyFont="1" applyFill="1" applyBorder="1" applyAlignment="1">
      <alignment horizontal="left" vertical="top" wrapText="1"/>
    </xf>
    <xf numFmtId="4" fontId="11" fillId="34" borderId="12" xfId="0" applyNumberFormat="1" applyFont="1" applyFill="1" applyBorder="1" applyAlignment="1">
      <alignment horizontal="left" vertical="top" wrapText="1"/>
    </xf>
    <xf numFmtId="201" fontId="11" fillId="34" borderId="11" xfId="0" applyNumberFormat="1" applyFont="1" applyFill="1" applyBorder="1" applyAlignment="1">
      <alignment horizontal="left" vertical="center"/>
    </xf>
    <xf numFmtId="201" fontId="11" fillId="34" borderId="31" xfId="0" applyNumberFormat="1" applyFont="1" applyFill="1" applyBorder="1" applyAlignment="1">
      <alignment horizontal="left" vertical="center"/>
    </xf>
    <xf numFmtId="201" fontId="11" fillId="34" borderId="12" xfId="0" applyNumberFormat="1" applyFont="1" applyFill="1" applyBorder="1" applyAlignment="1">
      <alignment horizontal="left" vertical="center"/>
    </xf>
    <xf numFmtId="4" fontId="11" fillId="34" borderId="11" xfId="0" applyNumberFormat="1" applyFont="1" applyFill="1" applyBorder="1" applyAlignment="1">
      <alignment horizontal="center" vertical="center" wrapText="1"/>
    </xf>
    <xf numFmtId="4" fontId="11" fillId="34" borderId="31" xfId="0" applyNumberFormat="1" applyFont="1" applyFill="1" applyBorder="1" applyAlignment="1">
      <alignment horizontal="center" vertical="center" wrapText="1"/>
    </xf>
    <xf numFmtId="4" fontId="11" fillId="34" borderId="12" xfId="0" applyNumberFormat="1" applyFont="1" applyFill="1" applyBorder="1" applyAlignment="1">
      <alignment horizontal="center" vertical="center" wrapText="1"/>
    </xf>
    <xf numFmtId="4" fontId="13" fillId="34" borderId="10" xfId="0" applyNumberFormat="1" applyFont="1" applyFill="1" applyBorder="1" applyAlignment="1">
      <alignment horizontal="left" vertical="center"/>
    </xf>
    <xf numFmtId="4" fontId="13" fillId="34" borderId="33" xfId="0" applyNumberFormat="1" applyFont="1" applyFill="1" applyBorder="1" applyAlignment="1">
      <alignment horizontal="left" vertical="center" wrapText="1"/>
    </xf>
    <xf numFmtId="4" fontId="13" fillId="34" borderId="0" xfId="0" applyNumberFormat="1" applyFont="1" applyFill="1" applyBorder="1" applyAlignment="1">
      <alignment horizontal="left" vertical="center" wrapText="1"/>
    </xf>
    <xf numFmtId="177" fontId="10" fillId="34" borderId="11" xfId="53" applyNumberFormat="1" applyFont="1" applyFill="1" applyBorder="1" applyAlignment="1" applyProtection="1">
      <alignment horizontal="center" vertical="center"/>
      <protection hidden="1"/>
    </xf>
    <xf numFmtId="177" fontId="10" fillId="34" borderId="31" xfId="53" applyNumberFormat="1" applyFont="1" applyFill="1" applyBorder="1" applyAlignment="1" applyProtection="1">
      <alignment horizontal="center" vertical="center"/>
      <protection hidden="1"/>
    </xf>
    <xf numFmtId="177" fontId="10" fillId="34" borderId="12" xfId="53" applyNumberFormat="1" applyFont="1" applyFill="1" applyBorder="1" applyAlignment="1" applyProtection="1">
      <alignment horizontal="center" vertical="center"/>
      <protection hidden="1"/>
    </xf>
    <xf numFmtId="177" fontId="11" fillId="34" borderId="11" xfId="0" applyNumberFormat="1" applyFont="1" applyFill="1" applyBorder="1" applyAlignment="1">
      <alignment horizontal="center" vertical="top" wrapText="1"/>
    </xf>
    <xf numFmtId="177" fontId="11" fillId="34" borderId="31" xfId="0" applyNumberFormat="1" applyFont="1" applyFill="1" applyBorder="1" applyAlignment="1">
      <alignment horizontal="center" vertical="top" wrapText="1"/>
    </xf>
    <xf numFmtId="177" fontId="11" fillId="34" borderId="12" xfId="0" applyNumberFormat="1" applyFont="1" applyFill="1" applyBorder="1" applyAlignment="1">
      <alignment horizontal="center" vertical="top" wrapText="1"/>
    </xf>
    <xf numFmtId="4" fontId="13" fillId="19" borderId="21" xfId="0" applyNumberFormat="1" applyFont="1" applyFill="1" applyBorder="1" applyAlignment="1">
      <alignment horizontal="center" vertical="center"/>
    </xf>
    <xf numFmtId="4" fontId="13" fillId="19" borderId="29" xfId="0" applyNumberFormat="1" applyFont="1" applyFill="1" applyBorder="1" applyAlignment="1">
      <alignment horizontal="center" vertical="center"/>
    </xf>
    <xf numFmtId="4" fontId="13" fillId="19" borderId="18" xfId="0" applyNumberFormat="1" applyFont="1" applyFill="1" applyBorder="1" applyAlignment="1">
      <alignment horizontal="center" vertical="center"/>
    </xf>
    <xf numFmtId="4" fontId="13" fillId="34" borderId="30" xfId="0" applyNumberFormat="1" applyFont="1" applyFill="1" applyBorder="1" applyAlignment="1">
      <alignment horizontal="left" vertical="center" wrapText="1"/>
    </xf>
    <xf numFmtId="0" fontId="12" fillId="34" borderId="11" xfId="55" applyNumberFormat="1" applyFont="1" applyFill="1" applyBorder="1" applyAlignment="1" applyProtection="1">
      <alignment horizontal="left" vertical="center" wrapText="1" shrinkToFit="1"/>
      <protection hidden="1"/>
    </xf>
    <xf numFmtId="0" fontId="12" fillId="34" borderId="31" xfId="55" applyNumberFormat="1" applyFont="1" applyFill="1" applyBorder="1" applyAlignment="1" applyProtection="1">
      <alignment horizontal="left" vertical="center" wrapText="1" shrinkToFit="1"/>
      <protection hidden="1"/>
    </xf>
    <xf numFmtId="0" fontId="12" fillId="34" borderId="12" xfId="55" applyNumberFormat="1" applyFont="1" applyFill="1" applyBorder="1" applyAlignment="1" applyProtection="1">
      <alignment horizontal="left" vertical="center" wrapText="1" shrinkToFit="1"/>
      <protection hidden="1"/>
    </xf>
    <xf numFmtId="4" fontId="12" fillId="34" borderId="11" xfId="53" applyNumberFormat="1" applyFont="1" applyFill="1" applyBorder="1" applyAlignment="1" applyProtection="1">
      <alignment horizontal="center" vertical="center" wrapText="1"/>
      <protection hidden="1"/>
    </xf>
    <xf numFmtId="4" fontId="12" fillId="34" borderId="31" xfId="53" applyNumberFormat="1" applyFont="1" applyFill="1" applyBorder="1" applyAlignment="1" applyProtection="1">
      <alignment horizontal="center" vertical="center" wrapText="1"/>
      <protection hidden="1"/>
    </xf>
    <xf numFmtId="4" fontId="12" fillId="34" borderId="12" xfId="53" applyNumberFormat="1" applyFont="1" applyFill="1" applyBorder="1" applyAlignment="1" applyProtection="1">
      <alignment horizontal="center" vertical="center" wrapText="1"/>
      <protection hidden="1"/>
    </xf>
    <xf numFmtId="0" fontId="10" fillId="34" borderId="10" xfId="0" applyFont="1" applyFill="1" applyBorder="1" applyAlignment="1">
      <alignment horizontal="left" vertical="center" wrapText="1"/>
    </xf>
    <xf numFmtId="0" fontId="13" fillId="34" borderId="11" xfId="0" applyFont="1" applyFill="1" applyBorder="1" applyAlignment="1">
      <alignment horizontal="center" vertical="center" wrapText="1"/>
    </xf>
    <xf numFmtId="0" fontId="13" fillId="34" borderId="31" xfId="0" applyFont="1" applyFill="1" applyBorder="1" applyAlignment="1">
      <alignment horizontal="center" vertical="center" wrapText="1"/>
    </xf>
    <xf numFmtId="0" fontId="13" fillId="34" borderId="12" xfId="0" applyFont="1" applyFill="1" applyBorder="1" applyAlignment="1">
      <alignment horizontal="center" vertical="center" wrapText="1"/>
    </xf>
    <xf numFmtId="4" fontId="11" fillId="34" borderId="10" xfId="0" applyNumberFormat="1" applyFont="1" applyFill="1" applyBorder="1" applyAlignment="1">
      <alignment vertical="center"/>
    </xf>
    <xf numFmtId="0" fontId="11" fillId="34" borderId="10" xfId="0" applyFont="1" applyFill="1" applyBorder="1" applyAlignment="1">
      <alignment vertical="center"/>
    </xf>
    <xf numFmtId="16" fontId="11" fillId="0" borderId="11"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49" fontId="13" fillId="0" borderId="31" xfId="0" applyNumberFormat="1" applyFont="1" applyFill="1" applyBorder="1" applyAlignment="1">
      <alignment horizontal="center" vertical="center" wrapText="1"/>
    </xf>
    <xf numFmtId="0" fontId="13" fillId="34" borderId="31" xfId="0" applyFont="1" applyFill="1" applyBorder="1" applyAlignment="1">
      <alignment horizontal="left" vertical="top" wrapText="1"/>
    </xf>
    <xf numFmtId="4" fontId="10" fillId="34" borderId="11" xfId="53" applyNumberFormat="1" applyFont="1" applyFill="1" applyBorder="1" applyAlignment="1" applyProtection="1">
      <alignment horizontal="center" vertical="center" wrapText="1"/>
      <protection hidden="1"/>
    </xf>
    <xf numFmtId="4" fontId="10" fillId="34" borderId="31" xfId="53" applyNumberFormat="1" applyFont="1" applyFill="1" applyBorder="1" applyAlignment="1" applyProtection="1">
      <alignment horizontal="center" vertical="center" wrapText="1"/>
      <protection hidden="1"/>
    </xf>
    <xf numFmtId="0" fontId="10" fillId="0" borderId="10" xfId="0" applyFont="1" applyFill="1" applyBorder="1" applyAlignment="1">
      <alignment horizontal="center" vertical="center" wrapText="1"/>
    </xf>
    <xf numFmtId="0" fontId="11" fillId="34" borderId="10" xfId="0" applyFont="1" applyFill="1" applyBorder="1" applyAlignment="1">
      <alignment horizontal="left" vertical="center" wrapText="1"/>
    </xf>
    <xf numFmtId="4" fontId="12" fillId="34" borderId="11" xfId="0" applyNumberFormat="1" applyFont="1" applyFill="1" applyBorder="1" applyAlignment="1">
      <alignment horizontal="right" vertical="center"/>
    </xf>
    <xf numFmtId="4" fontId="12" fillId="34" borderId="31" xfId="0" applyNumberFormat="1" applyFont="1" applyFill="1" applyBorder="1" applyAlignment="1">
      <alignment horizontal="right" vertical="center"/>
    </xf>
    <xf numFmtId="4" fontId="12" fillId="34" borderId="12" xfId="0" applyNumberFormat="1" applyFont="1" applyFill="1" applyBorder="1" applyAlignment="1">
      <alignment horizontal="right" vertical="center"/>
    </xf>
    <xf numFmtId="4" fontId="10" fillId="34" borderId="11" xfId="55" applyNumberFormat="1" applyFont="1" applyFill="1" applyBorder="1" applyAlignment="1" applyProtection="1">
      <alignment horizontal="center" vertical="center"/>
      <protection hidden="1"/>
    </xf>
    <xf numFmtId="4" fontId="10" fillId="34" borderId="31" xfId="55" applyNumberFormat="1" applyFont="1" applyFill="1" applyBorder="1" applyAlignment="1" applyProtection="1">
      <alignment horizontal="center" vertical="center"/>
      <protection hidden="1"/>
    </xf>
    <xf numFmtId="4" fontId="10" fillId="34" borderId="12" xfId="55" applyNumberFormat="1" applyFont="1" applyFill="1" applyBorder="1" applyAlignment="1" applyProtection="1">
      <alignment horizontal="center" vertical="center"/>
      <protection hidden="1"/>
    </xf>
    <xf numFmtId="49" fontId="12" fillId="34" borderId="11" xfId="0" applyNumberFormat="1" applyFont="1" applyFill="1" applyBorder="1" applyAlignment="1">
      <alignment horizontal="center" vertical="center" wrapText="1"/>
    </xf>
    <xf numFmtId="178" fontId="12" fillId="34" borderId="11" xfId="0" applyNumberFormat="1" applyFont="1" applyFill="1" applyBorder="1" applyAlignment="1" applyProtection="1">
      <alignment horizontal="center" vertical="center" wrapText="1"/>
      <protection/>
    </xf>
    <xf numFmtId="0" fontId="10" fillId="34" borderId="11" xfId="0" applyNumberFormat="1" applyFont="1" applyFill="1" applyBorder="1" applyAlignment="1" applyProtection="1">
      <alignment horizontal="center" vertical="center" wrapText="1"/>
      <protection/>
    </xf>
    <xf numFmtId="4" fontId="13" fillId="34" borderId="11" xfId="0" applyNumberFormat="1" applyFont="1" applyFill="1" applyBorder="1" applyAlignment="1">
      <alignment horizontal="center" vertical="center" wrapText="1"/>
    </xf>
    <xf numFmtId="4" fontId="13" fillId="34" borderId="12"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wrapText="1"/>
    </xf>
    <xf numFmtId="49" fontId="13" fillId="0" borderId="29" xfId="0" applyNumberFormat="1" applyFont="1" applyFill="1" applyBorder="1" applyAlignment="1">
      <alignment horizontal="center" vertical="center" wrapText="1"/>
    </xf>
    <xf numFmtId="0" fontId="12" fillId="34" borderId="18" xfId="53" applyNumberFormat="1" applyFont="1" applyFill="1" applyBorder="1" applyAlignment="1" applyProtection="1">
      <alignment horizontal="center" vertical="center" wrapText="1"/>
      <protection hidden="1"/>
    </xf>
    <xf numFmtId="0" fontId="12" fillId="34" borderId="10" xfId="0" applyNumberFormat="1" applyFont="1" applyFill="1" applyBorder="1" applyAlignment="1" applyProtection="1">
      <alignment horizontal="left" vertical="center" wrapText="1"/>
      <protection/>
    </xf>
    <xf numFmtId="178" fontId="12" fillId="34" borderId="10" xfId="53" applyNumberFormat="1" applyFont="1" applyFill="1" applyBorder="1" applyAlignment="1" applyProtection="1">
      <alignment horizontal="center" vertical="center" wrapText="1"/>
      <protection hidden="1"/>
    </xf>
    <xf numFmtId="0" fontId="12" fillId="34" borderId="10" xfId="53" applyNumberFormat="1" applyFont="1" applyFill="1" applyBorder="1" applyAlignment="1" applyProtection="1">
      <alignment horizontal="center" vertical="center" wrapText="1"/>
      <protection hidden="1"/>
    </xf>
    <xf numFmtId="0" fontId="12" fillId="34" borderId="11" xfId="53" applyNumberFormat="1" applyFont="1" applyFill="1" applyBorder="1" applyAlignment="1" applyProtection="1">
      <alignment horizontal="center" vertical="center" wrapText="1"/>
      <protection hidden="1"/>
    </xf>
    <xf numFmtId="0" fontId="12" fillId="34" borderId="31" xfId="53" applyNumberFormat="1" applyFont="1" applyFill="1" applyBorder="1" applyAlignment="1" applyProtection="1">
      <alignment horizontal="center" vertical="center" wrapText="1"/>
      <protection hidden="1"/>
    </xf>
    <xf numFmtId="0" fontId="12" fillId="34" borderId="12" xfId="53" applyNumberFormat="1" applyFont="1" applyFill="1" applyBorder="1" applyAlignment="1" applyProtection="1">
      <alignment horizontal="center" vertical="center" wrapText="1"/>
      <protection hidden="1"/>
    </xf>
    <xf numFmtId="0" fontId="13" fillId="34" borderId="22" xfId="0" applyFont="1" applyFill="1" applyBorder="1" applyAlignment="1">
      <alignment horizontal="center" vertical="center" wrapText="1"/>
    </xf>
    <xf numFmtId="0" fontId="13" fillId="34" borderId="34" xfId="0" applyFont="1" applyFill="1" applyBorder="1" applyAlignment="1">
      <alignment horizontal="center" vertical="center" wrapText="1"/>
    </xf>
    <xf numFmtId="0" fontId="13" fillId="34" borderId="35"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13" fillId="34" borderId="32" xfId="0" applyFont="1" applyFill="1" applyBorder="1" applyAlignment="1">
      <alignment horizontal="center" vertical="center" wrapText="1"/>
    </xf>
    <xf numFmtId="0" fontId="12" fillId="34" borderId="0" xfId="53" applyNumberFormat="1" applyFont="1" applyFill="1" applyBorder="1" applyAlignment="1" applyProtection="1">
      <alignment horizontal="center" vertical="center" wrapText="1"/>
      <protection hidden="1"/>
    </xf>
    <xf numFmtId="4" fontId="12" fillId="34" borderId="11" xfId="0" applyNumberFormat="1" applyFont="1" applyFill="1" applyBorder="1" applyAlignment="1">
      <alignment horizontal="center" vertical="center" wrapText="1"/>
    </xf>
    <xf numFmtId="4" fontId="12" fillId="34" borderId="12" xfId="0" applyNumberFormat="1" applyFont="1" applyFill="1" applyBorder="1" applyAlignment="1">
      <alignment horizontal="center" vertical="center" wrapText="1"/>
    </xf>
    <xf numFmtId="0" fontId="13" fillId="34" borderId="10" xfId="0" applyFont="1" applyFill="1" applyBorder="1" applyAlignment="1">
      <alignment horizontal="center" vertical="center" wrapText="1"/>
    </xf>
    <xf numFmtId="4" fontId="13" fillId="34" borderId="10" xfId="0" applyNumberFormat="1"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_tmp"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0"/>
  <sheetViews>
    <sheetView view="pageBreakPreview" zoomScale="70" zoomScaleSheetLayoutView="70" zoomScalePageLayoutView="0" workbookViewId="0" topLeftCell="A50">
      <selection activeCell="C76" sqref="C76"/>
    </sheetView>
  </sheetViews>
  <sheetFormatPr defaultColWidth="9.140625" defaultRowHeight="15"/>
  <cols>
    <col min="1" max="1" width="37.421875" style="1" customWidth="1"/>
    <col min="2" max="2" width="23.57421875" style="1" customWidth="1"/>
    <col min="3" max="3" width="22.8515625" style="1" customWidth="1"/>
    <col min="4" max="4" width="22.421875" style="1" customWidth="1"/>
    <col min="5" max="5" width="23.7109375" style="1" customWidth="1"/>
    <col min="6" max="6" width="22.8515625" style="1" customWidth="1"/>
    <col min="7" max="7" width="24.140625" style="1" customWidth="1"/>
    <col min="8" max="8" width="24.421875" style="1" customWidth="1"/>
    <col min="9" max="9" width="23.421875" style="1" customWidth="1"/>
    <col min="10" max="10" width="22.7109375" style="1" customWidth="1"/>
    <col min="11" max="11" width="23.7109375" style="1" customWidth="1"/>
    <col min="12" max="12" width="31.00390625" style="1" customWidth="1"/>
    <col min="13" max="16384" width="9.140625" style="1" customWidth="1"/>
  </cols>
  <sheetData>
    <row r="1" spans="1:11" ht="18.75">
      <c r="A1" s="370" t="s">
        <v>44</v>
      </c>
      <c r="B1" s="370"/>
      <c r="C1" s="370"/>
      <c r="D1" s="370"/>
      <c r="E1" s="370"/>
      <c r="F1" s="370"/>
      <c r="G1" s="370"/>
      <c r="H1" s="370"/>
      <c r="I1" s="370"/>
      <c r="J1" s="370"/>
      <c r="K1" s="370"/>
    </row>
    <row r="2" spans="1:11" ht="15.75">
      <c r="A2" s="2"/>
      <c r="B2" s="2"/>
      <c r="C2" s="2"/>
      <c r="D2" s="2"/>
      <c r="E2" s="2"/>
      <c r="F2" s="2"/>
      <c r="G2" s="2"/>
      <c r="H2" s="2"/>
      <c r="I2" s="2"/>
      <c r="J2" s="2"/>
      <c r="K2" s="2"/>
    </row>
    <row r="3" spans="1:11" ht="18.75" customHeight="1">
      <c r="A3" s="371" t="s">
        <v>29</v>
      </c>
      <c r="B3" s="372" t="s">
        <v>42</v>
      </c>
      <c r="C3" s="372"/>
      <c r="D3" s="372"/>
      <c r="E3" s="372"/>
      <c r="F3" s="372"/>
      <c r="G3" s="372"/>
      <c r="H3" s="372"/>
      <c r="I3" s="372"/>
      <c r="J3" s="372"/>
      <c r="K3" s="372"/>
    </row>
    <row r="4" spans="1:11" ht="46.5" customHeight="1">
      <c r="A4" s="371"/>
      <c r="B4" s="371" t="s">
        <v>45</v>
      </c>
      <c r="C4" s="371" t="s">
        <v>46</v>
      </c>
      <c r="D4" s="371"/>
      <c r="E4" s="371"/>
      <c r="F4" s="371" t="s">
        <v>47</v>
      </c>
      <c r="G4" s="371"/>
      <c r="H4" s="371"/>
      <c r="I4" s="371" t="s">
        <v>48</v>
      </c>
      <c r="J4" s="371"/>
      <c r="K4" s="371"/>
    </row>
    <row r="5" spans="1:11" ht="31.5">
      <c r="A5" s="371"/>
      <c r="B5" s="371"/>
      <c r="C5" s="3" t="s">
        <v>30</v>
      </c>
      <c r="D5" s="3" t="s">
        <v>35</v>
      </c>
      <c r="E5" s="3" t="s">
        <v>38</v>
      </c>
      <c r="F5" s="3" t="s">
        <v>30</v>
      </c>
      <c r="G5" s="3" t="s">
        <v>35</v>
      </c>
      <c r="H5" s="3" t="s">
        <v>38</v>
      </c>
      <c r="I5" s="3" t="s">
        <v>30</v>
      </c>
      <c r="J5" s="3" t="s">
        <v>35</v>
      </c>
      <c r="K5" s="3" t="s">
        <v>38</v>
      </c>
    </row>
    <row r="6" spans="1:12" s="16" customFormat="1" ht="40.5" customHeight="1" thickBot="1">
      <c r="A6" s="15" t="s">
        <v>40</v>
      </c>
      <c r="B6" s="45">
        <f>B7+B26+B31+B36+B41+B42+B43+B44+B45+B46+B47+B48+B49</f>
        <v>4132250291.9399996</v>
      </c>
      <c r="C6" s="45">
        <f>C7+C26+C31+C36+C41+C42+C43+C44+C45+C46+C47+C48+C49</f>
        <v>4692388609.82</v>
      </c>
      <c r="D6" s="45">
        <f>D7+D26+D36+D41+D42+D43+D44+D49</f>
        <v>1504441117.7400002</v>
      </c>
      <c r="E6" s="45">
        <f>D6-C6</f>
        <v>-3187947492.0799994</v>
      </c>
      <c r="F6" s="45">
        <f>F7+F26+F31+F36+F41+F42+F43+F44+F45+F46+F47+F48+F49</f>
        <v>5384053083.530001</v>
      </c>
      <c r="G6" s="45">
        <f>G7+G26+G36+G41+G42+G43+G44+G49</f>
        <v>1667040584.76</v>
      </c>
      <c r="H6" s="45">
        <f>G6-F6</f>
        <v>-3717012498.7700005</v>
      </c>
      <c r="I6" s="45">
        <f>I7+I26+I31+I36+I41+I42+I43+I44+I45+I46+I47+I48+I49</f>
        <v>5177711575.71</v>
      </c>
      <c r="J6" s="45">
        <f>J7+J26+J36+J41+J42+J43+J44+J49</f>
        <v>796321016.5700002</v>
      </c>
      <c r="K6" s="45">
        <f>J6-I6</f>
        <v>-4381390559.139999</v>
      </c>
      <c r="L6" s="17"/>
    </row>
    <row r="7" spans="1:12" s="10" customFormat="1" ht="21" customHeight="1" hidden="1">
      <c r="A7" s="13" t="s">
        <v>31</v>
      </c>
      <c r="B7" s="46">
        <v>93334415.1</v>
      </c>
      <c r="C7" s="46">
        <v>109550144.83</v>
      </c>
      <c r="D7" s="46">
        <f>SUM(D8:D10)</f>
        <v>102004353.64</v>
      </c>
      <c r="E7" s="46">
        <f>SUM(E8:E10)</f>
        <v>-7545791.19</v>
      </c>
      <c r="F7" s="46">
        <v>109593957.45</v>
      </c>
      <c r="G7" s="46">
        <f>SUM(G8:G10)</f>
        <v>103593957.45</v>
      </c>
      <c r="H7" s="46">
        <f>SUM(H8:H10)</f>
        <v>-6000000</v>
      </c>
      <c r="I7" s="46">
        <v>112625131.75</v>
      </c>
      <c r="J7" s="46">
        <f>SUM(J8:J10)</f>
        <v>106625131.75</v>
      </c>
      <c r="K7" s="47">
        <f>SUM(K8:K10)</f>
        <v>-6000000</v>
      </c>
      <c r="L7" s="14"/>
    </row>
    <row r="8" spans="1:12" s="10" customFormat="1" ht="21" customHeight="1" hidden="1">
      <c r="A8" s="8" t="s">
        <v>36</v>
      </c>
      <c r="B8" s="34">
        <v>65766332.19</v>
      </c>
      <c r="C8" s="34">
        <v>72100412.42</v>
      </c>
      <c r="D8" s="34">
        <v>72100412.42</v>
      </c>
      <c r="E8" s="48">
        <v>0</v>
      </c>
      <c r="F8" s="34">
        <v>72100412.42</v>
      </c>
      <c r="G8" s="34">
        <v>72100412.42</v>
      </c>
      <c r="H8" s="48">
        <v>0</v>
      </c>
      <c r="I8" s="34">
        <v>72100412.41</v>
      </c>
      <c r="J8" s="34">
        <v>72100412.41</v>
      </c>
      <c r="K8" s="42">
        <v>0</v>
      </c>
      <c r="L8" s="14"/>
    </row>
    <row r="9" spans="1:11" s="10" customFormat="1" ht="18" customHeight="1" hidden="1">
      <c r="A9" s="8" t="s">
        <v>37</v>
      </c>
      <c r="B9" s="34">
        <v>19861455.92</v>
      </c>
      <c r="C9" s="34">
        <v>21774324.55</v>
      </c>
      <c r="D9" s="34">
        <v>21774324.55</v>
      </c>
      <c r="E9" s="48">
        <v>0</v>
      </c>
      <c r="F9" s="34">
        <v>21774324.55</v>
      </c>
      <c r="G9" s="34">
        <v>21774324.55</v>
      </c>
      <c r="H9" s="48">
        <v>0</v>
      </c>
      <c r="I9" s="34">
        <v>24658341.05</v>
      </c>
      <c r="J9" s="34">
        <v>24658341.05</v>
      </c>
      <c r="K9" s="49">
        <v>0</v>
      </c>
    </row>
    <row r="10" spans="1:11" s="10" customFormat="1" ht="20.25" customHeight="1" hidden="1" thickBot="1">
      <c r="A10" s="9" t="s">
        <v>39</v>
      </c>
      <c r="B10" s="39">
        <v>7706626.99</v>
      </c>
      <c r="C10" s="39">
        <v>15675407.86</v>
      </c>
      <c r="D10" s="39">
        <f>C10+E10</f>
        <v>8129616.669999999</v>
      </c>
      <c r="E10" s="50">
        <v>-7545791.19</v>
      </c>
      <c r="F10" s="39">
        <v>15719220.48</v>
      </c>
      <c r="G10" s="39">
        <f>F10+H10</f>
        <v>9719220.48</v>
      </c>
      <c r="H10" s="50">
        <v>-6000000</v>
      </c>
      <c r="I10" s="39">
        <v>15866378.29</v>
      </c>
      <c r="J10" s="39">
        <f>I10+K10</f>
        <v>9866378.29</v>
      </c>
      <c r="K10" s="51">
        <v>-6000000</v>
      </c>
    </row>
    <row r="11" spans="1:11" ht="63.75" hidden="1" thickBot="1">
      <c r="A11" s="7" t="s">
        <v>32</v>
      </c>
      <c r="B11" s="38"/>
      <c r="C11" s="38"/>
      <c r="D11" s="38"/>
      <c r="E11" s="38"/>
      <c r="F11" s="38"/>
      <c r="G11" s="38"/>
      <c r="H11" s="38"/>
      <c r="I11" s="38"/>
      <c r="J11" s="38"/>
      <c r="K11" s="38"/>
    </row>
    <row r="12" spans="1:11" ht="63.75" hidden="1" thickBot="1">
      <c r="A12" s="5" t="s">
        <v>32</v>
      </c>
      <c r="B12" s="34"/>
      <c r="C12" s="34"/>
      <c r="D12" s="34"/>
      <c r="E12" s="34"/>
      <c r="F12" s="34"/>
      <c r="G12" s="34"/>
      <c r="H12" s="34"/>
      <c r="I12" s="34"/>
      <c r="J12" s="34"/>
      <c r="K12" s="34"/>
    </row>
    <row r="13" spans="1:11" ht="63.75" hidden="1" thickBot="1">
      <c r="A13" s="5" t="s">
        <v>32</v>
      </c>
      <c r="B13" s="34"/>
      <c r="C13" s="34"/>
      <c r="D13" s="34"/>
      <c r="E13" s="34"/>
      <c r="F13" s="34"/>
      <c r="G13" s="34"/>
      <c r="H13" s="34"/>
      <c r="I13" s="34"/>
      <c r="J13" s="34"/>
      <c r="K13" s="34"/>
    </row>
    <row r="14" spans="1:11" ht="63.75" hidden="1" thickBot="1">
      <c r="A14" s="5" t="s">
        <v>32</v>
      </c>
      <c r="B14" s="34"/>
      <c r="C14" s="34"/>
      <c r="D14" s="34"/>
      <c r="E14" s="34"/>
      <c r="F14" s="34"/>
      <c r="G14" s="34"/>
      <c r="H14" s="34"/>
      <c r="I14" s="34"/>
      <c r="J14" s="34"/>
      <c r="K14" s="34"/>
    </row>
    <row r="15" spans="1:11" ht="63.75" hidden="1" thickBot="1">
      <c r="A15" s="5" t="s">
        <v>32</v>
      </c>
      <c r="B15" s="34"/>
      <c r="C15" s="34"/>
      <c r="D15" s="34"/>
      <c r="E15" s="34"/>
      <c r="F15" s="34"/>
      <c r="G15" s="34"/>
      <c r="H15" s="34"/>
      <c r="I15" s="34"/>
      <c r="J15" s="34"/>
      <c r="K15" s="34"/>
    </row>
    <row r="16" spans="1:11" ht="63.75" hidden="1" thickBot="1">
      <c r="A16" s="5" t="s">
        <v>32</v>
      </c>
      <c r="B16" s="34"/>
      <c r="C16" s="34"/>
      <c r="D16" s="34"/>
      <c r="E16" s="34"/>
      <c r="F16" s="34"/>
      <c r="G16" s="34"/>
      <c r="H16" s="34"/>
      <c r="I16" s="34"/>
      <c r="J16" s="34"/>
      <c r="K16" s="34"/>
    </row>
    <row r="17" spans="1:11" ht="63.75" hidden="1" thickBot="1">
      <c r="A17" s="5" t="s">
        <v>32</v>
      </c>
      <c r="B17" s="34"/>
      <c r="C17" s="34"/>
      <c r="D17" s="34"/>
      <c r="E17" s="34"/>
      <c r="F17" s="34"/>
      <c r="G17" s="34"/>
      <c r="H17" s="34"/>
      <c r="I17" s="34"/>
      <c r="J17" s="34"/>
      <c r="K17" s="34"/>
    </row>
    <row r="18" spans="1:11" ht="63.75" hidden="1" thickBot="1">
      <c r="A18" s="5" t="s">
        <v>32</v>
      </c>
      <c r="B18" s="34"/>
      <c r="C18" s="34"/>
      <c r="D18" s="34"/>
      <c r="E18" s="34"/>
      <c r="F18" s="34"/>
      <c r="G18" s="34"/>
      <c r="H18" s="34"/>
      <c r="I18" s="34"/>
      <c r="J18" s="34"/>
      <c r="K18" s="34"/>
    </row>
    <row r="19" spans="1:11" ht="63.75" hidden="1" thickBot="1">
      <c r="A19" s="5" t="s">
        <v>32</v>
      </c>
      <c r="B19" s="34"/>
      <c r="C19" s="34"/>
      <c r="D19" s="34"/>
      <c r="E19" s="34"/>
      <c r="F19" s="34"/>
      <c r="G19" s="34"/>
      <c r="H19" s="34"/>
      <c r="I19" s="34"/>
      <c r="J19" s="34"/>
      <c r="K19" s="34"/>
    </row>
    <row r="20" spans="1:11" ht="63.75" hidden="1" thickBot="1">
      <c r="A20" s="5" t="s">
        <v>32</v>
      </c>
      <c r="B20" s="34"/>
      <c r="C20" s="34"/>
      <c r="D20" s="34"/>
      <c r="E20" s="34"/>
      <c r="F20" s="34"/>
      <c r="G20" s="34"/>
      <c r="H20" s="34"/>
      <c r="I20" s="34"/>
      <c r="J20" s="34"/>
      <c r="K20" s="34"/>
    </row>
    <row r="21" spans="1:11" ht="63.75" hidden="1" thickBot="1">
      <c r="A21" s="5" t="s">
        <v>32</v>
      </c>
      <c r="B21" s="34"/>
      <c r="C21" s="34"/>
      <c r="D21" s="34"/>
      <c r="E21" s="34"/>
      <c r="F21" s="34"/>
      <c r="G21" s="34"/>
      <c r="H21" s="34"/>
      <c r="I21" s="34"/>
      <c r="J21" s="34"/>
      <c r="K21" s="34"/>
    </row>
    <row r="22" spans="1:11" ht="63.75" hidden="1" thickBot="1">
      <c r="A22" s="5" t="s">
        <v>32</v>
      </c>
      <c r="B22" s="34"/>
      <c r="C22" s="34"/>
      <c r="D22" s="34"/>
      <c r="E22" s="34"/>
      <c r="F22" s="34"/>
      <c r="G22" s="34"/>
      <c r="H22" s="34"/>
      <c r="I22" s="34"/>
      <c r="J22" s="34"/>
      <c r="K22" s="34"/>
    </row>
    <row r="23" spans="1:11" ht="63.75" hidden="1" thickBot="1">
      <c r="A23" s="5" t="s">
        <v>32</v>
      </c>
      <c r="B23" s="34"/>
      <c r="C23" s="34"/>
      <c r="D23" s="34"/>
      <c r="E23" s="34"/>
      <c r="F23" s="34"/>
      <c r="G23" s="34"/>
      <c r="H23" s="34"/>
      <c r="I23" s="34"/>
      <c r="J23" s="34"/>
      <c r="K23" s="34"/>
    </row>
    <row r="24" spans="1:11" ht="63.75" hidden="1" thickBot="1">
      <c r="A24" s="5" t="s">
        <v>32</v>
      </c>
      <c r="B24" s="34"/>
      <c r="C24" s="34"/>
      <c r="D24" s="34"/>
      <c r="E24" s="34"/>
      <c r="F24" s="34"/>
      <c r="G24" s="34"/>
      <c r="H24" s="34"/>
      <c r="I24" s="34"/>
      <c r="J24" s="34"/>
      <c r="K24" s="34"/>
    </row>
    <row r="25" spans="1:11" ht="63.75" hidden="1" thickBot="1">
      <c r="A25" s="6" t="s">
        <v>32</v>
      </c>
      <c r="B25" s="36"/>
      <c r="C25" s="36"/>
      <c r="D25" s="36"/>
      <c r="E25" s="36"/>
      <c r="F25" s="36"/>
      <c r="G25" s="36"/>
      <c r="H25" s="36"/>
      <c r="I25" s="36"/>
      <c r="J25" s="36"/>
      <c r="K25" s="36"/>
    </row>
    <row r="26" spans="1:11" ht="39.75" customHeight="1">
      <c r="A26" s="27" t="s">
        <v>50</v>
      </c>
      <c r="B26" s="44">
        <v>33530511.38</v>
      </c>
      <c r="C26" s="44">
        <v>35410397.21</v>
      </c>
      <c r="D26" s="44">
        <f>SUM(D27:D30)</f>
        <v>34863246.88</v>
      </c>
      <c r="E26" s="44">
        <f>SUM(E27:E30)</f>
        <v>-547150.33</v>
      </c>
      <c r="F26" s="44">
        <v>33458755.9</v>
      </c>
      <c r="G26" s="44">
        <f>SUM(G27:G30)</f>
        <v>32911605.57</v>
      </c>
      <c r="H26" s="44">
        <f>SUM(H27:H30)</f>
        <v>-547150.33</v>
      </c>
      <c r="I26" s="44">
        <v>33210465.9</v>
      </c>
      <c r="J26" s="44">
        <f>SUM(J27:J30)</f>
        <v>32663315.57</v>
      </c>
      <c r="K26" s="44">
        <f>SUM(K27:K30)</f>
        <v>-547150.33</v>
      </c>
    </row>
    <row r="27" spans="1:11" ht="19.5" customHeight="1">
      <c r="A27" s="8" t="s">
        <v>36</v>
      </c>
      <c r="B27" s="34">
        <v>18135807.24</v>
      </c>
      <c r="C27" s="34">
        <v>19279901.74</v>
      </c>
      <c r="D27" s="34">
        <f>C27+E27</f>
        <v>18732751.41</v>
      </c>
      <c r="E27" s="34">
        <v>-547150.33</v>
      </c>
      <c r="F27" s="34">
        <v>19279901.74</v>
      </c>
      <c r="G27" s="34">
        <f>F27+H27</f>
        <v>18732751.41</v>
      </c>
      <c r="H27" s="34">
        <v>-547150.33</v>
      </c>
      <c r="I27" s="34">
        <v>19279901.74</v>
      </c>
      <c r="J27" s="34">
        <f>I27+K27</f>
        <v>18732751.41</v>
      </c>
      <c r="K27" s="40">
        <v>-547150.33</v>
      </c>
    </row>
    <row r="28" spans="1:11" ht="33" customHeight="1">
      <c r="A28" s="8" t="s">
        <v>37</v>
      </c>
      <c r="B28" s="34">
        <v>5447013.79</v>
      </c>
      <c r="C28" s="34">
        <v>5822530.33</v>
      </c>
      <c r="D28" s="67">
        <f>C28</f>
        <v>5822530.33</v>
      </c>
      <c r="E28" s="34">
        <v>0</v>
      </c>
      <c r="F28" s="34">
        <v>5822530.33</v>
      </c>
      <c r="G28" s="67">
        <f>F28</f>
        <v>5822530.33</v>
      </c>
      <c r="H28" s="34">
        <v>0</v>
      </c>
      <c r="I28" s="34">
        <v>5822530.33</v>
      </c>
      <c r="J28" s="67">
        <f>I28</f>
        <v>5822530.33</v>
      </c>
      <c r="K28" s="40">
        <v>0</v>
      </c>
    </row>
    <row r="29" spans="1:11" ht="18.75" customHeight="1">
      <c r="A29" s="8" t="s">
        <v>41</v>
      </c>
      <c r="B29" s="34">
        <v>1180126.4</v>
      </c>
      <c r="C29" s="34">
        <v>1266400.46</v>
      </c>
      <c r="D29" s="67">
        <f>C29</f>
        <v>1266400.46</v>
      </c>
      <c r="E29" s="34">
        <v>0</v>
      </c>
      <c r="F29" s="34">
        <v>1406144.88</v>
      </c>
      <c r="G29" s="67">
        <f>F29</f>
        <v>1406144.88</v>
      </c>
      <c r="H29" s="34">
        <v>0</v>
      </c>
      <c r="I29" s="34">
        <v>1528926.98</v>
      </c>
      <c r="J29" s="67">
        <f>I29</f>
        <v>1528926.98</v>
      </c>
      <c r="K29" s="40">
        <v>0</v>
      </c>
    </row>
    <row r="30" spans="1:11" ht="24.75" customHeight="1" thickBot="1">
      <c r="A30" s="18" t="s">
        <v>39</v>
      </c>
      <c r="B30" s="36">
        <v>8767563.95</v>
      </c>
      <c r="C30" s="36">
        <v>9041564.68</v>
      </c>
      <c r="D30" s="36">
        <v>9041564.68</v>
      </c>
      <c r="E30" s="36"/>
      <c r="F30" s="36">
        <v>6950178.95</v>
      </c>
      <c r="G30" s="36">
        <v>6950178.95</v>
      </c>
      <c r="H30" s="36"/>
      <c r="I30" s="36">
        <v>6579106.85</v>
      </c>
      <c r="J30" s="36">
        <v>6579106.85</v>
      </c>
      <c r="K30" s="43"/>
    </row>
    <row r="31" spans="1:11" ht="52.5" customHeight="1">
      <c r="A31" s="28" t="s">
        <v>49</v>
      </c>
      <c r="B31" s="44">
        <v>14219091.01</v>
      </c>
      <c r="C31" s="44">
        <v>14794038.56</v>
      </c>
      <c r="D31" s="44">
        <f>SUM(D32:D35)</f>
        <v>14794038.559999999</v>
      </c>
      <c r="E31" s="44">
        <f>SUM(E32:E35)</f>
        <v>0</v>
      </c>
      <c r="F31" s="44">
        <v>14893422.2</v>
      </c>
      <c r="G31" s="44">
        <f>SUM(G32:G35)</f>
        <v>14893422.2</v>
      </c>
      <c r="H31" s="44">
        <f>SUM(H32:H35)</f>
        <v>0</v>
      </c>
      <c r="I31" s="44">
        <v>14961270.69</v>
      </c>
      <c r="J31" s="44">
        <f>SUM(J32:J35)</f>
        <v>14961270.690000001</v>
      </c>
      <c r="K31" s="52">
        <f>SUM(K32:K35)</f>
        <v>0</v>
      </c>
    </row>
    <row r="32" spans="1:11" ht="22.5" customHeight="1">
      <c r="A32" s="8" t="s">
        <v>36</v>
      </c>
      <c r="B32" s="38">
        <v>9499190.29</v>
      </c>
      <c r="C32" s="41">
        <v>9561890.29</v>
      </c>
      <c r="D32" s="38">
        <f>C32</f>
        <v>9561890.29</v>
      </c>
      <c r="E32" s="38">
        <v>0</v>
      </c>
      <c r="F32" s="41">
        <v>9561890.29</v>
      </c>
      <c r="G32" s="38">
        <f>F32</f>
        <v>9561890.29</v>
      </c>
      <c r="H32" s="38">
        <v>0</v>
      </c>
      <c r="I32" s="41">
        <v>9561890.29</v>
      </c>
      <c r="J32" s="38">
        <f>I32</f>
        <v>9561890.29</v>
      </c>
      <c r="K32" s="37">
        <v>0</v>
      </c>
    </row>
    <row r="33" spans="1:11" ht="33" customHeight="1">
      <c r="A33" s="8" t="s">
        <v>37</v>
      </c>
      <c r="B33" s="32">
        <v>2757690.86</v>
      </c>
      <c r="C33" s="34">
        <v>3270166.48</v>
      </c>
      <c r="D33" s="38">
        <f>C33</f>
        <v>3270166.48</v>
      </c>
      <c r="E33" s="38">
        <v>0</v>
      </c>
      <c r="F33" s="41">
        <v>3270166.48</v>
      </c>
      <c r="G33" s="38">
        <f>F33</f>
        <v>3270166.48</v>
      </c>
      <c r="H33" s="38">
        <v>0</v>
      </c>
      <c r="I33" s="41">
        <v>3270166.48</v>
      </c>
      <c r="J33" s="38">
        <f>I33</f>
        <v>3270166.48</v>
      </c>
      <c r="K33" s="37">
        <v>0</v>
      </c>
    </row>
    <row r="34" spans="1:11" ht="24.75" customHeight="1">
      <c r="A34" s="8" t="s">
        <v>41</v>
      </c>
      <c r="B34" s="32">
        <v>335295.72</v>
      </c>
      <c r="C34" s="34">
        <v>341121.67</v>
      </c>
      <c r="D34" s="38">
        <f>C34</f>
        <v>341121.67</v>
      </c>
      <c r="E34" s="38">
        <v>0</v>
      </c>
      <c r="F34" s="41">
        <v>377393.05</v>
      </c>
      <c r="G34" s="38">
        <f>F34</f>
        <v>377393.05</v>
      </c>
      <c r="H34" s="38">
        <v>0</v>
      </c>
      <c r="I34" s="41">
        <v>412583.71</v>
      </c>
      <c r="J34" s="38">
        <f>I34</f>
        <v>412583.71</v>
      </c>
      <c r="K34" s="37">
        <v>0</v>
      </c>
    </row>
    <row r="35" spans="1:11" ht="24.75" customHeight="1" thickBot="1">
      <c r="A35" s="18" t="s">
        <v>39</v>
      </c>
      <c r="B35" s="38">
        <v>1626914.14</v>
      </c>
      <c r="C35" s="38">
        <v>1620860.12</v>
      </c>
      <c r="D35" s="38">
        <v>1620860.12</v>
      </c>
      <c r="E35" s="38"/>
      <c r="F35" s="38">
        <v>1683972.38</v>
      </c>
      <c r="G35" s="38">
        <v>1683972.38</v>
      </c>
      <c r="H35" s="38"/>
      <c r="I35" s="38">
        <v>1716630.21</v>
      </c>
      <c r="J35" s="38">
        <v>1716630.21</v>
      </c>
      <c r="K35" s="37"/>
    </row>
    <row r="36" spans="1:11" ht="51" customHeight="1">
      <c r="A36" s="27" t="s">
        <v>51</v>
      </c>
      <c r="B36" s="44">
        <v>374144543</v>
      </c>
      <c r="C36" s="44">
        <v>384713160.21</v>
      </c>
      <c r="D36" s="44">
        <f>SUM(D37:D40)</f>
        <v>384116216.03999996</v>
      </c>
      <c r="E36" s="44">
        <f>SUM(E37:E40)</f>
        <v>-596944.17</v>
      </c>
      <c r="F36" s="44">
        <v>384254409.71</v>
      </c>
      <c r="G36" s="44">
        <f>SUM(G37:G40)</f>
        <v>383657465.53999996</v>
      </c>
      <c r="H36" s="44">
        <f>SUM(H37:H40)</f>
        <v>-596944.17</v>
      </c>
      <c r="I36" s="44">
        <v>384177167.37</v>
      </c>
      <c r="J36" s="44">
        <f>SUM(J37:J40)</f>
        <v>383580223.2</v>
      </c>
      <c r="K36" s="44">
        <f>SUM(K37:K40)</f>
        <v>-596944.17</v>
      </c>
    </row>
    <row r="37" spans="1:11" ht="18.75" customHeight="1">
      <c r="A37" s="8" t="s">
        <v>36</v>
      </c>
      <c r="B37" s="32">
        <v>21034484.28</v>
      </c>
      <c r="C37" s="34">
        <v>21034484.28</v>
      </c>
      <c r="D37" s="34">
        <f>C37+E37</f>
        <v>20437540.11</v>
      </c>
      <c r="E37" s="34">
        <v>-596944.17</v>
      </c>
      <c r="F37" s="41">
        <v>21034484.28</v>
      </c>
      <c r="G37" s="34">
        <f>F37+H37</f>
        <v>20437540.11</v>
      </c>
      <c r="H37" s="34">
        <v>-596944.17</v>
      </c>
      <c r="I37" s="41">
        <v>21034484.28</v>
      </c>
      <c r="J37" s="34">
        <f>I37+K37</f>
        <v>20437540.11</v>
      </c>
      <c r="K37" s="34">
        <v>-596944.17</v>
      </c>
    </row>
    <row r="38" spans="1:11" ht="36.75" customHeight="1">
      <c r="A38" s="8" t="s">
        <v>37</v>
      </c>
      <c r="B38" s="32">
        <v>6352414.61</v>
      </c>
      <c r="C38" s="34">
        <v>6352414.61</v>
      </c>
      <c r="D38" s="67">
        <f>C38</f>
        <v>6352414.61</v>
      </c>
      <c r="E38" s="34">
        <v>0</v>
      </c>
      <c r="F38" s="41">
        <v>6352414.61</v>
      </c>
      <c r="G38" s="67">
        <f>F38</f>
        <v>6352414.61</v>
      </c>
      <c r="H38" s="34">
        <v>0</v>
      </c>
      <c r="I38" s="41">
        <v>6352414.61</v>
      </c>
      <c r="J38" s="67">
        <f>I38</f>
        <v>6352414.61</v>
      </c>
      <c r="K38" s="34">
        <v>0</v>
      </c>
    </row>
    <row r="39" spans="1:11" ht="19.5" customHeight="1">
      <c r="A39" s="8" t="s">
        <v>41</v>
      </c>
      <c r="B39" s="32">
        <v>1107231.19</v>
      </c>
      <c r="C39" s="34">
        <v>1182457.87</v>
      </c>
      <c r="D39" s="67">
        <f>C39</f>
        <v>1182457.87</v>
      </c>
      <c r="E39" s="34">
        <v>0</v>
      </c>
      <c r="F39" s="41">
        <v>1268357.04</v>
      </c>
      <c r="G39" s="67">
        <f>F39</f>
        <v>1268357.04</v>
      </c>
      <c r="H39" s="34">
        <v>0</v>
      </c>
      <c r="I39" s="41">
        <v>1340094.36</v>
      </c>
      <c r="J39" s="67">
        <f>I39</f>
        <v>1340094.36</v>
      </c>
      <c r="K39" s="34">
        <v>0</v>
      </c>
    </row>
    <row r="40" spans="1:11" ht="21.75" customHeight="1" thickBot="1">
      <c r="A40" s="18" t="s">
        <v>39</v>
      </c>
      <c r="B40" s="36">
        <v>345650412.92</v>
      </c>
      <c r="C40" s="36">
        <v>356143803.45</v>
      </c>
      <c r="D40" s="36">
        <v>356143803.45</v>
      </c>
      <c r="E40" s="36"/>
      <c r="F40" s="36">
        <v>355599153.78</v>
      </c>
      <c r="G40" s="36">
        <v>355599153.78</v>
      </c>
      <c r="H40" s="36"/>
      <c r="I40" s="36">
        <v>355450174.12</v>
      </c>
      <c r="J40" s="36">
        <v>355450174.12</v>
      </c>
      <c r="K40" s="36"/>
    </row>
    <row r="41" spans="1:11" s="10" customFormat="1" ht="83.25" customHeight="1">
      <c r="A41" s="28" t="s">
        <v>53</v>
      </c>
      <c r="B41" s="44">
        <v>1356087379.58</v>
      </c>
      <c r="C41" s="52">
        <v>1689909789</v>
      </c>
      <c r="D41" s="53"/>
      <c r="E41" s="53"/>
      <c r="F41" s="44">
        <v>2134218098</v>
      </c>
      <c r="G41" s="53"/>
      <c r="H41" s="53"/>
      <c r="I41" s="44">
        <v>1688518740</v>
      </c>
      <c r="J41" s="53"/>
      <c r="K41" s="53"/>
    </row>
    <row r="42" spans="1:11" s="10" customFormat="1" ht="36" customHeight="1">
      <c r="A42" s="29" t="s">
        <v>54</v>
      </c>
      <c r="B42" s="33">
        <v>2248506351.87</v>
      </c>
      <c r="C42" s="54">
        <v>2448045880.01</v>
      </c>
      <c r="D42" s="32">
        <f>C42+E42</f>
        <v>983457301.1800003</v>
      </c>
      <c r="E42" s="32">
        <v>-1464588578.83</v>
      </c>
      <c r="F42" s="33">
        <v>2689885670.27</v>
      </c>
      <c r="G42" s="32">
        <f>F42+H42</f>
        <v>1146877556.2</v>
      </c>
      <c r="H42" s="32">
        <v>-1543008114.07</v>
      </c>
      <c r="I42" s="33">
        <v>2912577000</v>
      </c>
      <c r="J42" s="32">
        <f>I42+K42</f>
        <v>273452346.0500002</v>
      </c>
      <c r="K42" s="32">
        <v>-2639124653.95</v>
      </c>
    </row>
    <row r="43" spans="1:11" s="10" customFormat="1" ht="22.5" customHeight="1">
      <c r="A43" s="29" t="s">
        <v>52</v>
      </c>
      <c r="B43" s="33">
        <v>5200000</v>
      </c>
      <c r="C43" s="54">
        <v>1500000</v>
      </c>
      <c r="D43" s="32"/>
      <c r="E43" s="32"/>
      <c r="F43" s="33">
        <v>2879170</v>
      </c>
      <c r="G43" s="32"/>
      <c r="H43" s="32"/>
      <c r="I43" s="33">
        <v>0</v>
      </c>
      <c r="J43" s="32"/>
      <c r="K43" s="32"/>
    </row>
    <row r="44" spans="1:11" s="10" customFormat="1" ht="54" customHeight="1">
      <c r="A44" s="29" t="s">
        <v>55</v>
      </c>
      <c r="B44" s="33">
        <v>0</v>
      </c>
      <c r="C44" s="54">
        <v>51100</v>
      </c>
      <c r="D44" s="32"/>
      <c r="E44" s="32"/>
      <c r="F44" s="33">
        <v>123000</v>
      </c>
      <c r="G44" s="32"/>
      <c r="H44" s="32"/>
      <c r="I44" s="33">
        <v>145200</v>
      </c>
      <c r="J44" s="32"/>
      <c r="K44" s="32"/>
    </row>
    <row r="45" spans="1:11" s="10" customFormat="1" ht="22.5" customHeight="1">
      <c r="A45" s="30" t="s">
        <v>56</v>
      </c>
      <c r="B45" s="55">
        <v>0</v>
      </c>
      <c r="C45" s="56">
        <v>0</v>
      </c>
      <c r="D45" s="32"/>
      <c r="E45" s="32"/>
      <c r="F45" s="55">
        <v>850000</v>
      </c>
      <c r="G45" s="32"/>
      <c r="H45" s="32"/>
      <c r="I45" s="55">
        <v>8000000</v>
      </c>
      <c r="J45" s="32"/>
      <c r="K45" s="32"/>
    </row>
    <row r="46" spans="1:11" s="10" customFormat="1" ht="72" customHeight="1">
      <c r="A46" s="30" t="s">
        <v>57</v>
      </c>
      <c r="B46" s="55">
        <v>253000</v>
      </c>
      <c r="C46" s="56">
        <v>213100</v>
      </c>
      <c r="D46" s="32"/>
      <c r="E46" s="32"/>
      <c r="F46" s="55">
        <v>151100</v>
      </c>
      <c r="G46" s="32"/>
      <c r="H46" s="32"/>
      <c r="I46" s="55">
        <v>151100</v>
      </c>
      <c r="J46" s="32"/>
      <c r="K46" s="32"/>
    </row>
    <row r="47" spans="1:11" s="10" customFormat="1" ht="33.75" customHeight="1">
      <c r="A47" s="30" t="s">
        <v>59</v>
      </c>
      <c r="B47" s="55">
        <v>6500000</v>
      </c>
      <c r="C47" s="56">
        <v>1000000</v>
      </c>
      <c r="D47" s="32"/>
      <c r="E47" s="32"/>
      <c r="F47" s="55">
        <v>9700000</v>
      </c>
      <c r="G47" s="32"/>
      <c r="H47" s="32"/>
      <c r="I47" s="55">
        <v>19400000</v>
      </c>
      <c r="J47" s="32"/>
      <c r="K47" s="32"/>
    </row>
    <row r="48" spans="1:11" s="10" customFormat="1" ht="51" customHeight="1">
      <c r="A48" s="30" t="s">
        <v>58</v>
      </c>
      <c r="B48" s="55">
        <v>0</v>
      </c>
      <c r="C48" s="56">
        <v>0</v>
      </c>
      <c r="D48" s="32"/>
      <c r="E48" s="32"/>
      <c r="F48" s="55">
        <v>100000</v>
      </c>
      <c r="G48" s="32"/>
      <c r="H48" s="32"/>
      <c r="I48" s="55">
        <v>0</v>
      </c>
      <c r="J48" s="32"/>
      <c r="K48" s="32"/>
    </row>
    <row r="49" spans="1:11" s="12" customFormat="1" ht="27.75" customHeight="1" thickBot="1">
      <c r="A49" s="30" t="s">
        <v>33</v>
      </c>
      <c r="B49" s="55">
        <v>475000</v>
      </c>
      <c r="C49" s="56">
        <v>7201000</v>
      </c>
      <c r="D49" s="35"/>
      <c r="E49" s="35"/>
      <c r="F49" s="55">
        <v>3945500</v>
      </c>
      <c r="G49" s="35"/>
      <c r="H49" s="35"/>
      <c r="I49" s="55">
        <v>3945500</v>
      </c>
      <c r="J49" s="35"/>
      <c r="K49" s="35"/>
    </row>
    <row r="50" spans="1:11" s="16" customFormat="1" ht="43.5" customHeight="1">
      <c r="A50" s="31" t="s">
        <v>43</v>
      </c>
      <c r="B50" s="57">
        <f>B51+B52+B53+B54+B55+B56+B57</f>
        <v>1540648699.46</v>
      </c>
      <c r="C50" s="57">
        <f>C51+C52+C53+C54+C55+C56+C57</f>
        <v>3384570544.12</v>
      </c>
      <c r="D50" s="57"/>
      <c r="E50" s="57">
        <f>D50-C50</f>
        <v>-3384570544.12</v>
      </c>
      <c r="F50" s="57">
        <f>F51+F52+F53+F54+F55+F56+F57</f>
        <v>2691404146.91</v>
      </c>
      <c r="G50" s="57"/>
      <c r="H50" s="57">
        <f>G50-F50</f>
        <v>-2691404146.91</v>
      </c>
      <c r="I50" s="57">
        <f>I51+I52+I53+I54+I55+I56+I57</f>
        <v>2621076644.5099998</v>
      </c>
      <c r="J50" s="57"/>
      <c r="K50" s="57">
        <f>J50-I50</f>
        <v>-2621076644.5099998</v>
      </c>
    </row>
    <row r="51" spans="1:11" ht="84" customHeight="1">
      <c r="A51" s="20" t="s">
        <v>53</v>
      </c>
      <c r="B51" s="33">
        <v>314192551.84</v>
      </c>
      <c r="C51" s="33">
        <v>593385215</v>
      </c>
      <c r="D51" s="34"/>
      <c r="E51" s="34"/>
      <c r="F51" s="33">
        <v>677240287.8</v>
      </c>
      <c r="G51" s="34"/>
      <c r="H51" s="34"/>
      <c r="I51" s="33">
        <v>563847889.7</v>
      </c>
      <c r="J51" s="34"/>
      <c r="K51" s="34"/>
    </row>
    <row r="52" spans="1:11" ht="45" customHeight="1">
      <c r="A52" s="20" t="s">
        <v>54</v>
      </c>
      <c r="B52" s="33">
        <v>501929350.24</v>
      </c>
      <c r="C52" s="33">
        <v>805185523</v>
      </c>
      <c r="D52" s="34"/>
      <c r="E52" s="34"/>
      <c r="F52" s="33">
        <v>742652030</v>
      </c>
      <c r="G52" s="34"/>
      <c r="H52" s="34"/>
      <c r="I52" s="33">
        <v>1623750100</v>
      </c>
      <c r="J52" s="34"/>
      <c r="K52" s="34"/>
    </row>
    <row r="53" spans="1:11" ht="59.25" customHeight="1">
      <c r="A53" s="20" t="s">
        <v>58</v>
      </c>
      <c r="B53" s="33">
        <v>66400000</v>
      </c>
      <c r="C53" s="33">
        <v>100000000</v>
      </c>
      <c r="D53" s="34"/>
      <c r="E53" s="34"/>
      <c r="F53" s="33">
        <v>100000000</v>
      </c>
      <c r="G53" s="34"/>
      <c r="H53" s="34"/>
      <c r="I53" s="33">
        <v>100000000</v>
      </c>
      <c r="J53" s="34"/>
      <c r="K53" s="34"/>
    </row>
    <row r="54" spans="1:11" ht="53.25" customHeight="1">
      <c r="A54" s="20" t="s">
        <v>60</v>
      </c>
      <c r="B54" s="33">
        <v>362796378.38</v>
      </c>
      <c r="C54" s="33">
        <v>788699586.12</v>
      </c>
      <c r="D54" s="34"/>
      <c r="E54" s="34"/>
      <c r="F54" s="33">
        <v>328268829.11</v>
      </c>
      <c r="G54" s="34"/>
      <c r="H54" s="34"/>
      <c r="I54" s="33">
        <v>100528654.81</v>
      </c>
      <c r="J54" s="34"/>
      <c r="K54" s="34"/>
    </row>
    <row r="55" spans="1:11" ht="38.25" customHeight="1">
      <c r="A55" s="20" t="s">
        <v>61</v>
      </c>
      <c r="B55" s="33">
        <v>295330419</v>
      </c>
      <c r="C55" s="33">
        <v>1018763000</v>
      </c>
      <c r="D55" s="34"/>
      <c r="E55" s="34"/>
      <c r="F55" s="33">
        <v>768243000</v>
      </c>
      <c r="G55" s="34"/>
      <c r="H55" s="34"/>
      <c r="I55" s="33">
        <v>62950000</v>
      </c>
      <c r="J55" s="34"/>
      <c r="K55" s="34"/>
    </row>
    <row r="56" spans="1:11" ht="38.25" customHeight="1">
      <c r="A56" s="20" t="s">
        <v>62</v>
      </c>
      <c r="B56" s="33">
        <v>0</v>
      </c>
      <c r="C56" s="33">
        <v>0</v>
      </c>
      <c r="D56" s="34"/>
      <c r="E56" s="34"/>
      <c r="F56" s="33">
        <v>50000000</v>
      </c>
      <c r="G56" s="34"/>
      <c r="H56" s="34"/>
      <c r="I56" s="33">
        <v>170000000</v>
      </c>
      <c r="J56" s="34"/>
      <c r="K56" s="34"/>
    </row>
    <row r="57" spans="1:11" ht="20.25" customHeight="1">
      <c r="A57" s="20" t="s">
        <v>33</v>
      </c>
      <c r="B57" s="33">
        <v>0</v>
      </c>
      <c r="C57" s="33">
        <v>78537220</v>
      </c>
      <c r="D57" s="34"/>
      <c r="E57" s="34"/>
      <c r="F57" s="33">
        <v>25000000</v>
      </c>
      <c r="G57" s="34"/>
      <c r="H57" s="34"/>
      <c r="I57" s="33">
        <v>0</v>
      </c>
      <c r="J57" s="34"/>
      <c r="K57" s="34"/>
    </row>
    <row r="58" spans="1:11" s="11" customFormat="1" ht="27" customHeight="1">
      <c r="A58" s="19" t="s">
        <v>34</v>
      </c>
      <c r="B58" s="58">
        <f aca="true" t="shared" si="0" ref="B58:K58">B6+B50</f>
        <v>5672898991.4</v>
      </c>
      <c r="C58" s="58">
        <f t="shared" si="0"/>
        <v>8076959153.94</v>
      </c>
      <c r="D58" s="58">
        <f t="shared" si="0"/>
        <v>1504441117.7400002</v>
      </c>
      <c r="E58" s="58">
        <f t="shared" si="0"/>
        <v>-6572518036.199999</v>
      </c>
      <c r="F58" s="58">
        <f t="shared" si="0"/>
        <v>8075457230.440001</v>
      </c>
      <c r="G58" s="58">
        <f t="shared" si="0"/>
        <v>1667040584.76</v>
      </c>
      <c r="H58" s="58">
        <f t="shared" si="0"/>
        <v>-6408416645.68</v>
      </c>
      <c r="I58" s="58">
        <f t="shared" si="0"/>
        <v>7798788220.219999</v>
      </c>
      <c r="J58" s="58">
        <f t="shared" si="0"/>
        <v>796321016.5700002</v>
      </c>
      <c r="K58" s="58">
        <f t="shared" si="0"/>
        <v>-7002467203.65</v>
      </c>
    </row>
    <row r="59" ht="27" customHeight="1">
      <c r="A59" s="65"/>
    </row>
    <row r="60" ht="18.75">
      <c r="A60" s="66"/>
    </row>
    <row r="62" spans="1:11" ht="15.75">
      <c r="A62" s="22" t="s">
        <v>69</v>
      </c>
      <c r="B62" s="4"/>
      <c r="C62" s="23">
        <f>SUM(C63:C66)</f>
        <v>2940624563.21</v>
      </c>
      <c r="D62" s="62"/>
      <c r="E62" s="22"/>
      <c r="F62" s="23">
        <f>SUM(F63:F66)</f>
        <v>3095459363.71</v>
      </c>
      <c r="G62" s="62"/>
      <c r="H62" s="22"/>
      <c r="I62" s="23">
        <f>SUM(I63:I66)</f>
        <v>4192474267.37</v>
      </c>
      <c r="J62" s="22"/>
      <c r="K62" s="25"/>
    </row>
    <row r="63" spans="1:11" ht="15.75">
      <c r="A63" s="59" t="s">
        <v>63</v>
      </c>
      <c r="B63" s="4"/>
      <c r="C63" s="24">
        <v>235587000</v>
      </c>
      <c r="D63" s="63"/>
      <c r="E63" s="64"/>
      <c r="F63" s="24">
        <v>280000000</v>
      </c>
      <c r="G63" s="63"/>
      <c r="H63" s="64"/>
      <c r="I63" s="24">
        <v>556700000</v>
      </c>
      <c r="J63" s="21"/>
      <c r="K63" s="26"/>
    </row>
    <row r="64" spans="1:11" ht="15.75">
      <c r="A64" s="59" t="s">
        <v>64</v>
      </c>
      <c r="B64" s="4"/>
      <c r="C64" s="24">
        <v>629598523</v>
      </c>
      <c r="D64" s="63"/>
      <c r="E64" s="21"/>
      <c r="F64" s="24">
        <v>542652030</v>
      </c>
      <c r="G64" s="63"/>
      <c r="H64" s="21"/>
      <c r="I64" s="24">
        <v>1177050100</v>
      </c>
      <c r="J64" s="21"/>
      <c r="K64" s="26"/>
    </row>
    <row r="65" spans="1:11" ht="15.75">
      <c r="A65" s="59" t="s">
        <v>65</v>
      </c>
      <c r="B65" s="4"/>
      <c r="C65" s="24">
        <v>384713160.21</v>
      </c>
      <c r="D65" s="63"/>
      <c r="E65" s="21"/>
      <c r="F65" s="24">
        <v>384254409.71</v>
      </c>
      <c r="G65" s="63"/>
      <c r="H65" s="21"/>
      <c r="I65" s="24">
        <v>384177167.37</v>
      </c>
      <c r="J65" s="21"/>
      <c r="K65" s="26"/>
    </row>
    <row r="66" spans="1:11" ht="15.75">
      <c r="A66" s="59" t="s">
        <v>66</v>
      </c>
      <c r="B66" s="4"/>
      <c r="C66" s="24">
        <v>1690725880</v>
      </c>
      <c r="D66" s="63"/>
      <c r="E66" s="21"/>
      <c r="F66" s="24">
        <v>1888552924</v>
      </c>
      <c r="G66" s="63"/>
      <c r="H66" s="21"/>
      <c r="I66" s="24">
        <v>2074547000</v>
      </c>
      <c r="J66" s="21"/>
      <c r="K66" s="26"/>
    </row>
    <row r="69" spans="1:11" ht="15.75">
      <c r="A69" s="22" t="s">
        <v>67</v>
      </c>
      <c r="B69" s="4"/>
      <c r="C69" s="61">
        <v>815185523</v>
      </c>
      <c r="D69" s="61"/>
      <c r="E69" s="61"/>
      <c r="F69" s="61">
        <v>752652030</v>
      </c>
      <c r="G69" s="61"/>
      <c r="H69" s="61"/>
      <c r="I69" s="61">
        <v>1633750100</v>
      </c>
      <c r="J69" s="61"/>
      <c r="K69" s="61"/>
    </row>
    <row r="70" spans="1:11" ht="15.75">
      <c r="A70" s="59" t="s">
        <v>63</v>
      </c>
      <c r="B70" s="4"/>
      <c r="C70" s="60">
        <v>185587000</v>
      </c>
      <c r="D70" s="60"/>
      <c r="E70" s="60"/>
      <c r="F70" s="60">
        <v>210000000</v>
      </c>
      <c r="G70" s="60"/>
      <c r="H70" s="60"/>
      <c r="I70" s="60">
        <v>456700000</v>
      </c>
      <c r="J70" s="60"/>
      <c r="K70" s="60"/>
    </row>
    <row r="71" spans="1:11" ht="15.75">
      <c r="A71" s="59" t="s">
        <v>64</v>
      </c>
      <c r="B71" s="4"/>
      <c r="C71" s="60">
        <v>629598523</v>
      </c>
      <c r="D71" s="60"/>
      <c r="E71" s="60"/>
      <c r="F71" s="60">
        <v>542652030</v>
      </c>
      <c r="G71" s="60"/>
      <c r="H71" s="60"/>
      <c r="I71" s="60">
        <v>1177050100</v>
      </c>
      <c r="J71" s="60"/>
      <c r="K71" s="60"/>
    </row>
    <row r="72" spans="1:11" ht="15.75">
      <c r="A72" s="59" t="s">
        <v>65</v>
      </c>
      <c r="B72" s="4"/>
      <c r="C72" s="4"/>
      <c r="D72" s="4"/>
      <c r="E72" s="4"/>
      <c r="F72" s="4"/>
      <c r="G72" s="4"/>
      <c r="H72" s="4"/>
      <c r="I72" s="4"/>
      <c r="J72" s="4"/>
      <c r="K72" s="4"/>
    </row>
    <row r="73" spans="1:11" ht="15.75">
      <c r="A73" s="59" t="s">
        <v>66</v>
      </c>
      <c r="B73" s="4"/>
      <c r="C73" s="4"/>
      <c r="D73" s="4"/>
      <c r="E73" s="4"/>
      <c r="F73" s="4"/>
      <c r="G73" s="4"/>
      <c r="H73" s="4"/>
      <c r="I73" s="4"/>
      <c r="J73" s="4"/>
      <c r="K73" s="4"/>
    </row>
    <row r="76" spans="1:11" ht="15.75">
      <c r="A76" s="22" t="s">
        <v>68</v>
      </c>
      <c r="B76" s="4"/>
      <c r="C76" s="61">
        <v>2125439040.21</v>
      </c>
      <c r="D76" s="61"/>
      <c r="E76" s="61"/>
      <c r="F76" s="61">
        <v>2342807333.71</v>
      </c>
      <c r="G76" s="61"/>
      <c r="H76" s="61"/>
      <c r="I76" s="61">
        <v>2558724167.37</v>
      </c>
      <c r="J76" s="61"/>
      <c r="K76" s="61"/>
    </row>
    <row r="77" spans="1:11" ht="15.75">
      <c r="A77" s="59" t="s">
        <v>63</v>
      </c>
      <c r="B77" s="4"/>
      <c r="C77" s="60">
        <v>50000000</v>
      </c>
      <c r="D77" s="60"/>
      <c r="E77" s="60"/>
      <c r="F77" s="60">
        <v>70000000</v>
      </c>
      <c r="G77" s="60"/>
      <c r="H77" s="60"/>
      <c r="I77" s="60">
        <v>100000000</v>
      </c>
      <c r="J77" s="60"/>
      <c r="K77" s="60"/>
    </row>
    <row r="78" spans="1:11" ht="15.75">
      <c r="A78" s="59" t="s">
        <v>64</v>
      </c>
      <c r="B78" s="4"/>
      <c r="C78" s="60"/>
      <c r="D78" s="60"/>
      <c r="E78" s="60"/>
      <c r="F78" s="60"/>
      <c r="G78" s="60"/>
      <c r="H78" s="60"/>
      <c r="I78" s="60"/>
      <c r="J78" s="60"/>
      <c r="K78" s="60"/>
    </row>
    <row r="79" spans="1:11" ht="15.75">
      <c r="A79" s="59" t="s">
        <v>65</v>
      </c>
      <c r="B79" s="4"/>
      <c r="C79" s="60">
        <v>384713160.21</v>
      </c>
      <c r="D79" s="60"/>
      <c r="E79" s="60"/>
      <c r="F79" s="60">
        <v>384254409.71</v>
      </c>
      <c r="G79" s="60"/>
      <c r="H79" s="60"/>
      <c r="I79" s="60">
        <v>384177167.37</v>
      </c>
      <c r="J79" s="60"/>
      <c r="K79" s="60"/>
    </row>
    <row r="80" spans="1:11" ht="15.75">
      <c r="A80" s="59" t="s">
        <v>66</v>
      </c>
      <c r="B80" s="4"/>
      <c r="C80" s="60">
        <v>1690725880</v>
      </c>
      <c r="D80" s="60"/>
      <c r="E80" s="60"/>
      <c r="F80" s="60">
        <v>1888552924</v>
      </c>
      <c r="G80" s="60"/>
      <c r="H80" s="60"/>
      <c r="I80" s="60">
        <v>2074547000</v>
      </c>
      <c r="J80" s="60"/>
      <c r="K80" s="60"/>
    </row>
  </sheetData>
  <sheetProtection/>
  <mergeCells count="7">
    <mergeCell ref="A1:K1"/>
    <mergeCell ref="I4:K4"/>
    <mergeCell ref="A3:A5"/>
    <mergeCell ref="B3:K3"/>
    <mergeCell ref="B4:B5"/>
    <mergeCell ref="C4:E4"/>
    <mergeCell ref="F4:H4"/>
  </mergeCells>
  <printOptions/>
  <pageMargins left="0.11811023622047245" right="0.11811023622047245" top="0.11811023622047245" bottom="0.15748031496062992" header="0.23" footer="0.4330708661417323"/>
  <pageSetup fitToHeight="100" horizontalDpi="600" verticalDpi="600" orientation="landscape" paperSize="9" scale="53" r:id="rId1"/>
  <headerFooter>
    <oddHeader>&amp;R&amp;P</oddHeader>
  </headerFooter>
</worksheet>
</file>

<file path=xl/worksheets/sheet2.xml><?xml version="1.0" encoding="utf-8"?>
<worksheet xmlns="http://schemas.openxmlformats.org/spreadsheetml/2006/main" xmlns:r="http://schemas.openxmlformats.org/officeDocument/2006/relationships">
  <dimension ref="A1:O1804"/>
  <sheetViews>
    <sheetView tabSelected="1" view="pageBreakPreview" zoomScaleSheetLayoutView="100" zoomScalePageLayoutView="0" workbookViewId="0" topLeftCell="A1">
      <selection activeCell="B135" sqref="B135"/>
    </sheetView>
  </sheetViews>
  <sheetFormatPr defaultColWidth="9.140625" defaultRowHeight="15"/>
  <cols>
    <col min="1" max="1" width="7.421875" style="89" customWidth="1"/>
    <col min="2" max="2" width="60.57421875" style="348" customWidth="1"/>
    <col min="3" max="3" width="10.140625" style="107" hidden="1" customWidth="1"/>
    <col min="4" max="4" width="8.140625" style="330" hidden="1" customWidth="1"/>
    <col min="5" max="5" width="11.140625" style="330" customWidth="1"/>
    <col min="6" max="6" width="17.7109375" style="166" customWidth="1"/>
    <col min="7" max="7" width="43.7109375" style="348" hidden="1" customWidth="1"/>
    <col min="8" max="8" width="0.13671875" style="326" hidden="1" customWidth="1"/>
    <col min="9" max="9" width="16.57421875" style="323" hidden="1" customWidth="1"/>
    <col min="10" max="10" width="10.57421875" style="323" hidden="1" customWidth="1"/>
    <col min="11" max="11" width="20.28125" style="323" hidden="1" customWidth="1"/>
    <col min="12" max="12" width="15.28125" style="330" hidden="1" customWidth="1"/>
    <col min="13" max="13" width="13.7109375" style="98" bestFit="1" customWidth="1"/>
    <col min="14" max="16384" width="9.140625" style="98" customWidth="1"/>
  </cols>
  <sheetData>
    <row r="1" spans="1:12" s="326" customFormat="1" ht="15">
      <c r="A1" s="624" t="s">
        <v>78</v>
      </c>
      <c r="B1" s="624"/>
      <c r="C1" s="624"/>
      <c r="D1" s="624"/>
      <c r="E1" s="624"/>
      <c r="F1" s="624"/>
      <c r="G1" s="624"/>
      <c r="H1" s="624"/>
      <c r="I1" s="624"/>
      <c r="J1" s="624"/>
      <c r="K1" s="624"/>
      <c r="L1" s="624"/>
    </row>
    <row r="2" spans="1:12" s="326" customFormat="1" ht="15">
      <c r="A2" s="624" t="s">
        <v>645</v>
      </c>
      <c r="B2" s="624"/>
      <c r="C2" s="624"/>
      <c r="D2" s="624"/>
      <c r="E2" s="624"/>
      <c r="F2" s="624"/>
      <c r="G2" s="624"/>
      <c r="H2" s="624"/>
      <c r="I2" s="624"/>
      <c r="J2" s="624"/>
      <c r="K2" s="624"/>
      <c r="L2" s="624"/>
    </row>
    <row r="3" spans="1:12" s="326" customFormat="1" ht="9.75" customHeight="1">
      <c r="A3" s="83"/>
      <c r="B3" s="91"/>
      <c r="C3" s="92"/>
      <c r="D3" s="93"/>
      <c r="E3" s="93"/>
      <c r="F3" s="162"/>
      <c r="G3" s="94"/>
      <c r="H3" s="95" t="s">
        <v>11</v>
      </c>
      <c r="I3" s="96"/>
      <c r="J3" s="96"/>
      <c r="K3" s="73"/>
      <c r="L3" s="96"/>
    </row>
    <row r="4" spans="1:12" s="326" customFormat="1" ht="27.75" customHeight="1">
      <c r="A4" s="614" t="s">
        <v>6</v>
      </c>
      <c r="B4" s="614" t="s">
        <v>77</v>
      </c>
      <c r="C4" s="613" t="s">
        <v>84</v>
      </c>
      <c r="D4" s="613"/>
      <c r="E4" s="614" t="s">
        <v>85</v>
      </c>
      <c r="F4" s="625" t="s">
        <v>179</v>
      </c>
      <c r="G4" s="627" t="s">
        <v>22</v>
      </c>
      <c r="H4" s="628" t="s">
        <v>17</v>
      </c>
      <c r="I4" s="607" t="s">
        <v>180</v>
      </c>
      <c r="J4" s="607" t="s">
        <v>21</v>
      </c>
      <c r="K4" s="607" t="s">
        <v>181</v>
      </c>
      <c r="L4" s="607" t="s">
        <v>161</v>
      </c>
    </row>
    <row r="5" spans="1:12" s="326" customFormat="1" ht="31.5" customHeight="1">
      <c r="A5" s="614"/>
      <c r="B5" s="614"/>
      <c r="C5" s="341" t="s">
        <v>76</v>
      </c>
      <c r="D5" s="342" t="s">
        <v>83</v>
      </c>
      <c r="E5" s="614"/>
      <c r="F5" s="626"/>
      <c r="G5" s="627"/>
      <c r="H5" s="628"/>
      <c r="I5" s="608"/>
      <c r="J5" s="608"/>
      <c r="K5" s="608"/>
      <c r="L5" s="608"/>
    </row>
    <row r="6" spans="1:12" s="326" customFormat="1" ht="15">
      <c r="A6" s="439" t="s">
        <v>684</v>
      </c>
      <c r="B6" s="440"/>
      <c r="C6" s="440"/>
      <c r="D6" s="440"/>
      <c r="E6" s="440"/>
      <c r="F6" s="440"/>
      <c r="G6" s="356"/>
      <c r="H6" s="357"/>
      <c r="I6" s="358"/>
      <c r="J6" s="358"/>
      <c r="K6" s="359"/>
      <c r="L6" s="325"/>
    </row>
    <row r="7" spans="1:12" s="326" customFormat="1" ht="71.25">
      <c r="A7" s="86" t="s">
        <v>2</v>
      </c>
      <c r="B7" s="70" t="s">
        <v>685</v>
      </c>
      <c r="C7" s="178">
        <f>SUM(C8:C63)</f>
        <v>23.862</v>
      </c>
      <c r="D7" s="121"/>
      <c r="E7" s="81" t="s">
        <v>34</v>
      </c>
      <c r="F7" s="225">
        <v>1053306628.81</v>
      </c>
      <c r="G7" s="356"/>
      <c r="H7" s="357"/>
      <c r="I7" s="358"/>
      <c r="J7" s="358"/>
      <c r="K7" s="359"/>
      <c r="L7" s="325"/>
    </row>
    <row r="8" spans="1:12" s="326" customFormat="1" ht="60">
      <c r="A8" s="526" t="s">
        <v>3</v>
      </c>
      <c r="B8" s="116" t="s">
        <v>215</v>
      </c>
      <c r="C8" s="120">
        <v>3.324</v>
      </c>
      <c r="D8" s="121">
        <v>50.9</v>
      </c>
      <c r="E8" s="305" t="s">
        <v>75</v>
      </c>
      <c r="F8" s="125">
        <f>F9+F10</f>
        <v>31833568.66</v>
      </c>
      <c r="G8" s="356"/>
      <c r="H8" s="357"/>
      <c r="I8" s="358"/>
      <c r="J8" s="358"/>
      <c r="K8" s="359"/>
      <c r="L8" s="325"/>
    </row>
    <row r="9" spans="1:12" s="326" customFormat="1" ht="15" hidden="1">
      <c r="A9" s="527"/>
      <c r="B9" s="116" t="s">
        <v>95</v>
      </c>
      <c r="C9" s="120"/>
      <c r="D9" s="121"/>
      <c r="E9" s="305" t="s">
        <v>75</v>
      </c>
      <c r="F9" s="125">
        <v>31203253.05</v>
      </c>
      <c r="G9" s="356"/>
      <c r="H9" s="357"/>
      <c r="I9" s="358"/>
      <c r="J9" s="358"/>
      <c r="K9" s="359"/>
      <c r="L9" s="325"/>
    </row>
    <row r="10" spans="1:12" s="326" customFormat="1" ht="15" hidden="1">
      <c r="A10" s="528"/>
      <c r="B10" s="116" t="s">
        <v>93</v>
      </c>
      <c r="C10" s="120"/>
      <c r="D10" s="121"/>
      <c r="E10" s="305" t="s">
        <v>75</v>
      </c>
      <c r="F10" s="125">
        <v>630315.61</v>
      </c>
      <c r="G10" s="356"/>
      <c r="H10" s="357"/>
      <c r="I10" s="358"/>
      <c r="J10" s="358"/>
      <c r="K10" s="359"/>
      <c r="L10" s="325"/>
    </row>
    <row r="11" spans="1:12" s="326" customFormat="1" ht="60">
      <c r="A11" s="526" t="s">
        <v>172</v>
      </c>
      <c r="B11" s="116" t="s">
        <v>216</v>
      </c>
      <c r="C11" s="120">
        <v>1.101</v>
      </c>
      <c r="D11" s="121">
        <v>49.68</v>
      </c>
      <c r="E11" s="305" t="s">
        <v>75</v>
      </c>
      <c r="F11" s="125">
        <f>F12+F13</f>
        <v>35731055.2</v>
      </c>
      <c r="G11" s="356"/>
      <c r="H11" s="357"/>
      <c r="I11" s="358"/>
      <c r="J11" s="358"/>
      <c r="K11" s="359"/>
      <c r="L11" s="325"/>
    </row>
    <row r="12" spans="1:12" s="326" customFormat="1" ht="15" hidden="1">
      <c r="A12" s="527"/>
      <c r="B12" s="116" t="s">
        <v>95</v>
      </c>
      <c r="C12" s="120"/>
      <c r="D12" s="121"/>
      <c r="E12" s="305" t="s">
        <v>75</v>
      </c>
      <c r="F12" s="125">
        <v>35005000.46</v>
      </c>
      <c r="G12" s="356"/>
      <c r="H12" s="357"/>
      <c r="I12" s="358"/>
      <c r="J12" s="358"/>
      <c r="K12" s="359"/>
      <c r="L12" s="325"/>
    </row>
    <row r="13" spans="1:12" s="326" customFormat="1" ht="15" hidden="1">
      <c r="A13" s="528"/>
      <c r="B13" s="116" t="s">
        <v>93</v>
      </c>
      <c r="C13" s="120"/>
      <c r="D13" s="121"/>
      <c r="E13" s="305" t="s">
        <v>75</v>
      </c>
      <c r="F13" s="125">
        <v>726054.74</v>
      </c>
      <c r="G13" s="356"/>
      <c r="H13" s="357"/>
      <c r="I13" s="358"/>
      <c r="J13" s="358"/>
      <c r="K13" s="359"/>
      <c r="L13" s="325"/>
    </row>
    <row r="14" spans="1:12" s="326" customFormat="1" ht="60">
      <c r="A14" s="526" t="s">
        <v>173</v>
      </c>
      <c r="B14" s="116" t="s">
        <v>217</v>
      </c>
      <c r="C14" s="120">
        <v>0.458</v>
      </c>
      <c r="D14" s="121">
        <v>51.4</v>
      </c>
      <c r="E14" s="305" t="s">
        <v>75</v>
      </c>
      <c r="F14" s="125">
        <f>F15+F16</f>
        <v>21707017.49</v>
      </c>
      <c r="G14" s="356"/>
      <c r="H14" s="357"/>
      <c r="I14" s="358"/>
      <c r="J14" s="358"/>
      <c r="K14" s="359"/>
      <c r="L14" s="325"/>
    </row>
    <row r="15" spans="1:12" s="326" customFormat="1" ht="15" hidden="1">
      <c r="A15" s="527"/>
      <c r="B15" s="116" t="s">
        <v>95</v>
      </c>
      <c r="C15" s="120"/>
      <c r="D15" s="121"/>
      <c r="E15" s="305" t="s">
        <v>75</v>
      </c>
      <c r="F15" s="125">
        <v>21442352.45</v>
      </c>
      <c r="G15" s="356"/>
      <c r="H15" s="357"/>
      <c r="I15" s="358"/>
      <c r="J15" s="358"/>
      <c r="K15" s="359"/>
      <c r="L15" s="325"/>
    </row>
    <row r="16" spans="1:12" s="326" customFormat="1" ht="15" hidden="1">
      <c r="A16" s="528"/>
      <c r="B16" s="116" t="s">
        <v>93</v>
      </c>
      <c r="C16" s="120"/>
      <c r="D16" s="121"/>
      <c r="E16" s="305" t="s">
        <v>75</v>
      </c>
      <c r="F16" s="125">
        <v>264665.04</v>
      </c>
      <c r="G16" s="356"/>
      <c r="H16" s="357"/>
      <c r="I16" s="358"/>
      <c r="J16" s="358"/>
      <c r="K16" s="359"/>
      <c r="L16" s="325"/>
    </row>
    <row r="17" spans="1:12" s="326" customFormat="1" ht="45">
      <c r="A17" s="526" t="s">
        <v>79</v>
      </c>
      <c r="B17" s="335" t="s">
        <v>218</v>
      </c>
      <c r="C17" s="120"/>
      <c r="D17" s="121"/>
      <c r="E17" s="305" t="s">
        <v>75</v>
      </c>
      <c r="F17" s="125">
        <f>F18+F19</f>
        <v>30833190</v>
      </c>
      <c r="G17" s="356"/>
      <c r="H17" s="357"/>
      <c r="I17" s="358"/>
      <c r="J17" s="358"/>
      <c r="K17" s="359"/>
      <c r="L17" s="325"/>
    </row>
    <row r="18" spans="1:12" s="326" customFormat="1" ht="15" hidden="1">
      <c r="A18" s="527"/>
      <c r="B18" s="116" t="s">
        <v>95</v>
      </c>
      <c r="C18" s="120"/>
      <c r="D18" s="121"/>
      <c r="E18" s="305" t="s">
        <v>75</v>
      </c>
      <c r="F18" s="125">
        <v>30000000</v>
      </c>
      <c r="G18" s="356"/>
      <c r="H18" s="357"/>
      <c r="I18" s="358"/>
      <c r="J18" s="358"/>
      <c r="K18" s="359"/>
      <c r="L18" s="325"/>
    </row>
    <row r="19" spans="1:12" s="326" customFormat="1" ht="15" hidden="1">
      <c r="A19" s="528"/>
      <c r="B19" s="116" t="s">
        <v>93</v>
      </c>
      <c r="C19" s="120"/>
      <c r="D19" s="121"/>
      <c r="E19" s="305" t="s">
        <v>75</v>
      </c>
      <c r="F19" s="125">
        <v>833190</v>
      </c>
      <c r="G19" s="356"/>
      <c r="H19" s="357"/>
      <c r="I19" s="358"/>
      <c r="J19" s="358"/>
      <c r="K19" s="359"/>
      <c r="L19" s="325"/>
    </row>
    <row r="20" spans="1:12" s="326" customFormat="1" ht="60">
      <c r="A20" s="526" t="s">
        <v>338</v>
      </c>
      <c r="B20" s="335" t="s">
        <v>219</v>
      </c>
      <c r="C20" s="120"/>
      <c r="D20" s="121"/>
      <c r="E20" s="305" t="s">
        <v>75</v>
      </c>
      <c r="F20" s="125">
        <f>F21+F22</f>
        <v>66105000</v>
      </c>
      <c r="G20" s="356"/>
      <c r="H20" s="357"/>
      <c r="I20" s="358"/>
      <c r="J20" s="358"/>
      <c r="K20" s="359"/>
      <c r="L20" s="325"/>
    </row>
    <row r="21" spans="1:12" s="326" customFormat="1" ht="15" hidden="1">
      <c r="A21" s="527"/>
      <c r="B21" s="116" t="s">
        <v>95</v>
      </c>
      <c r="C21" s="120"/>
      <c r="D21" s="121"/>
      <c r="E21" s="305" t="s">
        <v>75</v>
      </c>
      <c r="F21" s="125">
        <f>145000000-80000000</f>
        <v>65000000</v>
      </c>
      <c r="G21" s="356"/>
      <c r="H21" s="357"/>
      <c r="I21" s="358"/>
      <c r="J21" s="358"/>
      <c r="K21" s="359"/>
      <c r="L21" s="325"/>
    </row>
    <row r="22" spans="1:12" s="326" customFormat="1" ht="15" hidden="1">
      <c r="A22" s="528"/>
      <c r="B22" s="226" t="s">
        <v>93</v>
      </c>
      <c r="C22" s="120"/>
      <c r="D22" s="121"/>
      <c r="E22" s="305" t="s">
        <v>75</v>
      </c>
      <c r="F22" s="125">
        <v>1105000</v>
      </c>
      <c r="G22" s="356"/>
      <c r="H22" s="357"/>
      <c r="I22" s="358"/>
      <c r="J22" s="358"/>
      <c r="K22" s="359"/>
      <c r="L22" s="325"/>
    </row>
    <row r="23" spans="1:12" s="326" customFormat="1" ht="30">
      <c r="A23" s="526" t="s">
        <v>15</v>
      </c>
      <c r="B23" s="331" t="s">
        <v>220</v>
      </c>
      <c r="C23" s="120"/>
      <c r="D23" s="121"/>
      <c r="E23" s="305" t="s">
        <v>75</v>
      </c>
      <c r="F23" s="125">
        <f>F24+F25</f>
        <v>61870550</v>
      </c>
      <c r="G23" s="356"/>
      <c r="H23" s="357"/>
      <c r="I23" s="358"/>
      <c r="J23" s="358"/>
      <c r="K23" s="359"/>
      <c r="L23" s="325"/>
    </row>
    <row r="24" spans="1:12" s="326" customFormat="1" ht="15" hidden="1">
      <c r="A24" s="527"/>
      <c r="B24" s="116" t="s">
        <v>95</v>
      </c>
      <c r="C24" s="120"/>
      <c r="D24" s="121"/>
      <c r="E24" s="305" t="s">
        <v>75</v>
      </c>
      <c r="F24" s="125">
        <v>60000000</v>
      </c>
      <c r="G24" s="356"/>
      <c r="H24" s="357"/>
      <c r="I24" s="358"/>
      <c r="J24" s="358"/>
      <c r="K24" s="359"/>
      <c r="L24" s="325"/>
    </row>
    <row r="25" spans="1:12" s="326" customFormat="1" ht="15" hidden="1">
      <c r="A25" s="528"/>
      <c r="B25" s="226" t="s">
        <v>93</v>
      </c>
      <c r="C25" s="120"/>
      <c r="D25" s="121"/>
      <c r="E25" s="305" t="s">
        <v>75</v>
      </c>
      <c r="F25" s="125">
        <v>1870550</v>
      </c>
      <c r="G25" s="356"/>
      <c r="H25" s="357"/>
      <c r="I25" s="358"/>
      <c r="J25" s="358"/>
      <c r="K25" s="359"/>
      <c r="L25" s="325"/>
    </row>
    <row r="26" spans="1:12" s="326" customFormat="1" ht="45">
      <c r="A26" s="526" t="s">
        <v>16</v>
      </c>
      <c r="B26" s="331" t="s">
        <v>221</v>
      </c>
      <c r="C26" s="120"/>
      <c r="D26" s="121"/>
      <c r="E26" s="305" t="s">
        <v>75</v>
      </c>
      <c r="F26" s="125">
        <f>F27+F28</f>
        <v>9430570.41</v>
      </c>
      <c r="G26" s="356"/>
      <c r="H26" s="357"/>
      <c r="I26" s="358"/>
      <c r="J26" s="358"/>
      <c r="K26" s="359"/>
      <c r="L26" s="325"/>
    </row>
    <row r="27" spans="1:12" s="326" customFormat="1" ht="15" hidden="1">
      <c r="A27" s="527"/>
      <c r="B27" s="116" t="s">
        <v>95</v>
      </c>
      <c r="C27" s="120"/>
      <c r="D27" s="121"/>
      <c r="E27" s="305" t="s">
        <v>75</v>
      </c>
      <c r="F27" s="125">
        <v>8900000</v>
      </c>
      <c r="G27" s="356"/>
      <c r="H27" s="357"/>
      <c r="I27" s="358"/>
      <c r="J27" s="358"/>
      <c r="K27" s="359"/>
      <c r="L27" s="325"/>
    </row>
    <row r="28" spans="1:12" s="326" customFormat="1" ht="15" hidden="1">
      <c r="A28" s="528"/>
      <c r="B28" s="116" t="s">
        <v>93</v>
      </c>
      <c r="C28" s="120"/>
      <c r="D28" s="121"/>
      <c r="E28" s="305" t="s">
        <v>75</v>
      </c>
      <c r="F28" s="125">
        <v>530570.41</v>
      </c>
      <c r="G28" s="356"/>
      <c r="H28" s="357"/>
      <c r="I28" s="358"/>
      <c r="J28" s="358"/>
      <c r="K28" s="359"/>
      <c r="L28" s="325"/>
    </row>
    <row r="29" spans="1:12" s="326" customFormat="1" ht="45">
      <c r="A29" s="526" t="s">
        <v>88</v>
      </c>
      <c r="B29" s="331" t="s">
        <v>222</v>
      </c>
      <c r="C29" s="120">
        <v>0.417</v>
      </c>
      <c r="D29" s="121">
        <v>30.95</v>
      </c>
      <c r="E29" s="305" t="s">
        <v>75</v>
      </c>
      <c r="F29" s="125">
        <f>F30+F31</f>
        <v>32309959.65</v>
      </c>
      <c r="G29" s="356"/>
      <c r="H29" s="357"/>
      <c r="I29" s="358"/>
      <c r="J29" s="358"/>
      <c r="K29" s="359"/>
      <c r="L29" s="325"/>
    </row>
    <row r="30" spans="1:12" s="326" customFormat="1" ht="15" hidden="1">
      <c r="A30" s="527"/>
      <c r="B30" s="116" t="s">
        <v>95</v>
      </c>
      <c r="C30" s="120"/>
      <c r="D30" s="121"/>
      <c r="E30" s="305" t="s">
        <v>75</v>
      </c>
      <c r="F30" s="125">
        <v>31278230</v>
      </c>
      <c r="G30" s="356"/>
      <c r="H30" s="357"/>
      <c r="I30" s="358"/>
      <c r="J30" s="358"/>
      <c r="K30" s="359"/>
      <c r="L30" s="325"/>
    </row>
    <row r="31" spans="1:12" s="326" customFormat="1" ht="15" hidden="1">
      <c r="A31" s="528"/>
      <c r="B31" s="116" t="s">
        <v>93</v>
      </c>
      <c r="C31" s="120"/>
      <c r="D31" s="121"/>
      <c r="E31" s="305" t="s">
        <v>75</v>
      </c>
      <c r="F31" s="125">
        <v>1031729.65</v>
      </c>
      <c r="G31" s="356"/>
      <c r="H31" s="357"/>
      <c r="I31" s="358"/>
      <c r="J31" s="358"/>
      <c r="K31" s="359"/>
      <c r="L31" s="325"/>
    </row>
    <row r="32" spans="1:12" s="326" customFormat="1" ht="45">
      <c r="A32" s="526" t="s">
        <v>339</v>
      </c>
      <c r="B32" s="287" t="s">
        <v>226</v>
      </c>
      <c r="C32" s="120">
        <v>4.9</v>
      </c>
      <c r="D32" s="121"/>
      <c r="E32" s="305" t="s">
        <v>75</v>
      </c>
      <c r="F32" s="125">
        <f>F33+F34</f>
        <v>7579901.66</v>
      </c>
      <c r="G32" s="356"/>
      <c r="H32" s="357"/>
      <c r="I32" s="358"/>
      <c r="J32" s="358"/>
      <c r="K32" s="359"/>
      <c r="L32" s="325"/>
    </row>
    <row r="33" spans="1:12" s="326" customFormat="1" ht="15" hidden="1">
      <c r="A33" s="527"/>
      <c r="B33" s="116" t="s">
        <v>95</v>
      </c>
      <c r="C33" s="120"/>
      <c r="D33" s="121"/>
      <c r="E33" s="305" t="s">
        <v>75</v>
      </c>
      <c r="F33" s="125">
        <v>7479901.66</v>
      </c>
      <c r="G33" s="356"/>
      <c r="H33" s="357"/>
      <c r="I33" s="358"/>
      <c r="J33" s="358"/>
      <c r="K33" s="359"/>
      <c r="L33" s="325"/>
    </row>
    <row r="34" spans="1:12" s="326" customFormat="1" ht="15" hidden="1">
      <c r="A34" s="528"/>
      <c r="B34" s="116" t="s">
        <v>93</v>
      </c>
      <c r="C34" s="120"/>
      <c r="D34" s="121"/>
      <c r="E34" s="305" t="s">
        <v>75</v>
      </c>
      <c r="F34" s="125">
        <f>100000</f>
        <v>100000</v>
      </c>
      <c r="G34" s="356"/>
      <c r="H34" s="357"/>
      <c r="I34" s="358"/>
      <c r="J34" s="358"/>
      <c r="K34" s="359"/>
      <c r="L34" s="325"/>
    </row>
    <row r="35" spans="1:12" s="326" customFormat="1" ht="45">
      <c r="A35" s="526" t="s">
        <v>340</v>
      </c>
      <c r="B35" s="287" t="s">
        <v>227</v>
      </c>
      <c r="C35" s="120">
        <v>3.804</v>
      </c>
      <c r="D35" s="121"/>
      <c r="E35" s="305" t="s">
        <v>75</v>
      </c>
      <c r="F35" s="125">
        <f>F36+F37</f>
        <v>11449806.69</v>
      </c>
      <c r="G35" s="356"/>
      <c r="H35" s="357"/>
      <c r="I35" s="358"/>
      <c r="J35" s="358"/>
      <c r="K35" s="359"/>
      <c r="L35" s="325"/>
    </row>
    <row r="36" spans="1:12" s="326" customFormat="1" ht="18" customHeight="1" hidden="1">
      <c r="A36" s="527"/>
      <c r="B36" s="116" t="s">
        <v>95</v>
      </c>
      <c r="C36" s="120"/>
      <c r="D36" s="121"/>
      <c r="E36" s="305" t="s">
        <v>75</v>
      </c>
      <c r="F36" s="125">
        <f>12484787.36-1134980.67</f>
        <v>11349806.69</v>
      </c>
      <c r="G36" s="356"/>
      <c r="H36" s="357"/>
      <c r="I36" s="358"/>
      <c r="J36" s="358"/>
      <c r="K36" s="359"/>
      <c r="L36" s="325"/>
    </row>
    <row r="37" spans="1:12" s="326" customFormat="1" ht="15" hidden="1">
      <c r="A37" s="528"/>
      <c r="B37" s="116" t="s">
        <v>93</v>
      </c>
      <c r="C37" s="123"/>
      <c r="D37" s="124"/>
      <c r="E37" s="305" t="s">
        <v>75</v>
      </c>
      <c r="F37" s="125">
        <f>100000</f>
        <v>100000</v>
      </c>
      <c r="G37" s="356"/>
      <c r="H37" s="357"/>
      <c r="I37" s="358"/>
      <c r="J37" s="358"/>
      <c r="K37" s="359"/>
      <c r="L37" s="325"/>
    </row>
    <row r="38" spans="1:12" s="326" customFormat="1" ht="60">
      <c r="A38" s="526" t="s">
        <v>341</v>
      </c>
      <c r="B38" s="227" t="s">
        <v>228</v>
      </c>
      <c r="C38" s="304">
        <v>4.455</v>
      </c>
      <c r="D38" s="305"/>
      <c r="E38" s="305" t="s">
        <v>75</v>
      </c>
      <c r="F38" s="125">
        <f>F39+F40</f>
        <v>3820040.12</v>
      </c>
      <c r="G38" s="356"/>
      <c r="H38" s="357"/>
      <c r="I38" s="358"/>
      <c r="J38" s="358"/>
      <c r="K38" s="359"/>
      <c r="L38" s="325"/>
    </row>
    <row r="39" spans="1:12" s="326" customFormat="1" ht="15" hidden="1">
      <c r="A39" s="527"/>
      <c r="B39" s="116" t="s">
        <v>95</v>
      </c>
      <c r="C39" s="304"/>
      <c r="D39" s="305"/>
      <c r="E39" s="305" t="s">
        <v>75</v>
      </c>
      <c r="F39" s="125">
        <f>4092044.13-372004.01</f>
        <v>3720040.12</v>
      </c>
      <c r="G39" s="356"/>
      <c r="H39" s="357"/>
      <c r="I39" s="358"/>
      <c r="J39" s="358"/>
      <c r="K39" s="359"/>
      <c r="L39" s="325"/>
    </row>
    <row r="40" spans="1:12" s="326" customFormat="1" ht="15" hidden="1">
      <c r="A40" s="528"/>
      <c r="B40" s="116" t="s">
        <v>93</v>
      </c>
      <c r="C40" s="304"/>
      <c r="D40" s="305"/>
      <c r="E40" s="305" t="s">
        <v>75</v>
      </c>
      <c r="F40" s="125">
        <f>100000</f>
        <v>100000</v>
      </c>
      <c r="G40" s="356"/>
      <c r="H40" s="357"/>
      <c r="I40" s="358"/>
      <c r="J40" s="358"/>
      <c r="K40" s="359"/>
      <c r="L40" s="325"/>
    </row>
    <row r="41" spans="1:12" s="326" customFormat="1" ht="45">
      <c r="A41" s="526" t="s">
        <v>342</v>
      </c>
      <c r="B41" s="335" t="s">
        <v>229</v>
      </c>
      <c r="C41" s="304"/>
      <c r="D41" s="305"/>
      <c r="E41" s="305" t="s">
        <v>75</v>
      </c>
      <c r="F41" s="125">
        <f>F42+F43</f>
        <v>5050000</v>
      </c>
      <c r="G41" s="356"/>
      <c r="H41" s="357"/>
      <c r="I41" s="358"/>
      <c r="J41" s="358"/>
      <c r="K41" s="359"/>
      <c r="L41" s="325"/>
    </row>
    <row r="42" spans="1:12" s="326" customFormat="1" ht="15" hidden="1">
      <c r="A42" s="527"/>
      <c r="B42" s="116" t="s">
        <v>94</v>
      </c>
      <c r="C42" s="304"/>
      <c r="D42" s="305"/>
      <c r="E42" s="305" t="s">
        <v>75</v>
      </c>
      <c r="F42" s="125">
        <f>14350000-10350000</f>
        <v>4000000</v>
      </c>
      <c r="G42" s="356"/>
      <c r="H42" s="357"/>
      <c r="I42" s="358"/>
      <c r="J42" s="358"/>
      <c r="K42" s="359"/>
      <c r="L42" s="325"/>
    </row>
    <row r="43" spans="1:12" s="326" customFormat="1" ht="15" hidden="1">
      <c r="A43" s="528"/>
      <c r="B43" s="226" t="s">
        <v>93</v>
      </c>
      <c r="C43" s="304"/>
      <c r="D43" s="305"/>
      <c r="E43" s="305" t="s">
        <v>75</v>
      </c>
      <c r="F43" s="125">
        <v>1050000</v>
      </c>
      <c r="G43" s="356"/>
      <c r="H43" s="357"/>
      <c r="I43" s="358"/>
      <c r="J43" s="358"/>
      <c r="K43" s="359"/>
      <c r="L43" s="325"/>
    </row>
    <row r="44" spans="1:12" s="326" customFormat="1" ht="45">
      <c r="A44" s="526" t="s">
        <v>343</v>
      </c>
      <c r="B44" s="212" t="s">
        <v>238</v>
      </c>
      <c r="C44" s="304">
        <v>5</v>
      </c>
      <c r="D44" s="305"/>
      <c r="E44" s="305" t="s">
        <v>75</v>
      </c>
      <c r="F44" s="125">
        <f>F45+F46+F47</f>
        <v>150046807</v>
      </c>
      <c r="G44" s="356"/>
      <c r="H44" s="357"/>
      <c r="I44" s="358"/>
      <c r="J44" s="358"/>
      <c r="K44" s="359"/>
      <c r="L44" s="325"/>
    </row>
    <row r="45" spans="1:12" s="326" customFormat="1" ht="15" hidden="1">
      <c r="A45" s="527"/>
      <c r="B45" s="227" t="s">
        <v>95</v>
      </c>
      <c r="C45" s="304"/>
      <c r="D45" s="305"/>
      <c r="E45" s="305" t="s">
        <v>75</v>
      </c>
      <c r="F45" s="125">
        <v>144628046</v>
      </c>
      <c r="G45" s="356"/>
      <c r="H45" s="357"/>
      <c r="I45" s="358"/>
      <c r="J45" s="358"/>
      <c r="K45" s="359"/>
      <c r="L45" s="325"/>
    </row>
    <row r="46" spans="1:12" s="326" customFormat="1" ht="15" hidden="1">
      <c r="A46" s="527"/>
      <c r="B46" s="228" t="s">
        <v>94</v>
      </c>
      <c r="C46" s="304"/>
      <c r="D46" s="305"/>
      <c r="E46" s="305" t="s">
        <v>75</v>
      </c>
      <c r="F46" s="125">
        <v>1700000</v>
      </c>
      <c r="G46" s="356"/>
      <c r="H46" s="357"/>
      <c r="I46" s="358"/>
      <c r="J46" s="358"/>
      <c r="K46" s="359"/>
      <c r="L46" s="325"/>
    </row>
    <row r="47" spans="1:12" s="326" customFormat="1" ht="15" hidden="1">
      <c r="A47" s="528"/>
      <c r="B47" s="226" t="s">
        <v>93</v>
      </c>
      <c r="C47" s="304"/>
      <c r="D47" s="305"/>
      <c r="E47" s="305" t="s">
        <v>75</v>
      </c>
      <c r="F47" s="125">
        <v>3718761</v>
      </c>
      <c r="G47" s="356"/>
      <c r="H47" s="357"/>
      <c r="I47" s="358"/>
      <c r="J47" s="358"/>
      <c r="K47" s="359"/>
      <c r="L47" s="325"/>
    </row>
    <row r="48" spans="1:12" s="326" customFormat="1" ht="30">
      <c r="A48" s="526" t="s">
        <v>344</v>
      </c>
      <c r="B48" s="229" t="s">
        <v>242</v>
      </c>
      <c r="C48" s="304">
        <v>0.25</v>
      </c>
      <c r="D48" s="305"/>
      <c r="E48" s="305" t="s">
        <v>75</v>
      </c>
      <c r="F48" s="125">
        <f>F49+F50</f>
        <v>5610000</v>
      </c>
      <c r="G48" s="356"/>
      <c r="H48" s="357"/>
      <c r="I48" s="358"/>
      <c r="J48" s="358"/>
      <c r="K48" s="359"/>
      <c r="L48" s="325"/>
    </row>
    <row r="49" spans="1:12" s="326" customFormat="1" ht="15" hidden="1">
      <c r="A49" s="527"/>
      <c r="B49" s="116" t="s">
        <v>95</v>
      </c>
      <c r="C49" s="304"/>
      <c r="D49" s="305"/>
      <c r="E49" s="305" t="s">
        <v>75</v>
      </c>
      <c r="F49" s="125">
        <v>5010000</v>
      </c>
      <c r="G49" s="356"/>
      <c r="H49" s="357"/>
      <c r="I49" s="358"/>
      <c r="J49" s="358"/>
      <c r="K49" s="359"/>
      <c r="L49" s="325"/>
    </row>
    <row r="50" spans="1:12" s="326" customFormat="1" ht="15" hidden="1">
      <c r="A50" s="528"/>
      <c r="B50" s="116" t="s">
        <v>93</v>
      </c>
      <c r="C50" s="332"/>
      <c r="D50" s="153"/>
      <c r="E50" s="305" t="s">
        <v>75</v>
      </c>
      <c r="F50" s="125">
        <v>600000</v>
      </c>
      <c r="G50" s="356"/>
      <c r="H50" s="357"/>
      <c r="I50" s="358"/>
      <c r="J50" s="358"/>
      <c r="K50" s="359"/>
      <c r="L50" s="325"/>
    </row>
    <row r="51" spans="1:12" s="326" customFormat="1" ht="45">
      <c r="A51" s="322" t="s">
        <v>345</v>
      </c>
      <c r="B51" s="212" t="s">
        <v>230</v>
      </c>
      <c r="C51" s="304"/>
      <c r="D51" s="305"/>
      <c r="E51" s="305" t="s">
        <v>75</v>
      </c>
      <c r="F51" s="125">
        <v>8000000</v>
      </c>
      <c r="G51" s="356"/>
      <c r="H51" s="357"/>
      <c r="I51" s="358"/>
      <c r="J51" s="358"/>
      <c r="K51" s="359"/>
      <c r="L51" s="325"/>
    </row>
    <row r="52" spans="1:12" s="326" customFormat="1" ht="30">
      <c r="A52" s="322" t="s">
        <v>346</v>
      </c>
      <c r="B52" s="306" t="s">
        <v>231</v>
      </c>
      <c r="C52" s="304"/>
      <c r="D52" s="305"/>
      <c r="E52" s="305" t="s">
        <v>75</v>
      </c>
      <c r="F52" s="125">
        <v>12000000</v>
      </c>
      <c r="G52" s="356"/>
      <c r="H52" s="357"/>
      <c r="I52" s="358"/>
      <c r="J52" s="358"/>
      <c r="K52" s="359"/>
      <c r="L52" s="325"/>
    </row>
    <row r="53" spans="1:12" s="326" customFormat="1" ht="60">
      <c r="A53" s="322" t="s">
        <v>577</v>
      </c>
      <c r="B53" s="331" t="s">
        <v>232</v>
      </c>
      <c r="C53" s="304"/>
      <c r="D53" s="305"/>
      <c r="E53" s="305" t="s">
        <v>75</v>
      </c>
      <c r="F53" s="125">
        <v>4500000</v>
      </c>
      <c r="G53" s="356"/>
      <c r="H53" s="357"/>
      <c r="I53" s="358"/>
      <c r="J53" s="358"/>
      <c r="K53" s="359"/>
      <c r="L53" s="325"/>
    </row>
    <row r="54" spans="1:12" s="326" customFormat="1" ht="60">
      <c r="A54" s="322" t="s">
        <v>578</v>
      </c>
      <c r="B54" s="331" t="s">
        <v>233</v>
      </c>
      <c r="C54" s="304"/>
      <c r="D54" s="305"/>
      <c r="E54" s="305" t="s">
        <v>75</v>
      </c>
      <c r="F54" s="125">
        <v>4500000</v>
      </c>
      <c r="G54" s="356"/>
      <c r="H54" s="357"/>
      <c r="I54" s="358"/>
      <c r="J54" s="358"/>
      <c r="K54" s="359"/>
      <c r="L54" s="325"/>
    </row>
    <row r="55" spans="1:12" s="326" customFormat="1" ht="60">
      <c r="A55" s="322" t="s">
        <v>579</v>
      </c>
      <c r="B55" s="335" t="s">
        <v>234</v>
      </c>
      <c r="C55" s="304"/>
      <c r="D55" s="305"/>
      <c r="E55" s="305" t="s">
        <v>75</v>
      </c>
      <c r="F55" s="125">
        <v>250000</v>
      </c>
      <c r="G55" s="356"/>
      <c r="H55" s="357"/>
      <c r="I55" s="358"/>
      <c r="J55" s="358"/>
      <c r="K55" s="359"/>
      <c r="L55" s="325"/>
    </row>
    <row r="56" spans="1:12" s="326" customFormat="1" ht="60">
      <c r="A56" s="322" t="s">
        <v>580</v>
      </c>
      <c r="B56" s="335" t="s">
        <v>235</v>
      </c>
      <c r="C56" s="304"/>
      <c r="D56" s="305"/>
      <c r="E56" s="305" t="s">
        <v>75</v>
      </c>
      <c r="F56" s="125">
        <v>250000</v>
      </c>
      <c r="G56" s="356"/>
      <c r="H56" s="357"/>
      <c r="I56" s="358"/>
      <c r="J56" s="358"/>
      <c r="K56" s="359"/>
      <c r="L56" s="325"/>
    </row>
    <row r="57" spans="1:12" s="326" customFormat="1" ht="60">
      <c r="A57" s="322" t="s">
        <v>581</v>
      </c>
      <c r="B57" s="285" t="s">
        <v>236</v>
      </c>
      <c r="C57" s="304"/>
      <c r="D57" s="305"/>
      <c r="E57" s="305" t="s">
        <v>75</v>
      </c>
      <c r="F57" s="125">
        <v>250000</v>
      </c>
      <c r="G57" s="356"/>
      <c r="H57" s="357"/>
      <c r="I57" s="358"/>
      <c r="J57" s="358"/>
      <c r="K57" s="359"/>
      <c r="L57" s="325"/>
    </row>
    <row r="58" spans="1:12" s="326" customFormat="1" ht="60">
      <c r="A58" s="322" t="s">
        <v>582</v>
      </c>
      <c r="B58" s="335" t="s">
        <v>237</v>
      </c>
      <c r="C58" s="304"/>
      <c r="D58" s="305"/>
      <c r="E58" s="305" t="s">
        <v>75</v>
      </c>
      <c r="F58" s="125">
        <v>180000</v>
      </c>
      <c r="G58" s="356"/>
      <c r="H58" s="357"/>
      <c r="I58" s="358"/>
      <c r="J58" s="358"/>
      <c r="K58" s="359"/>
      <c r="L58" s="325"/>
    </row>
    <row r="59" spans="1:12" s="326" customFormat="1" ht="45">
      <c r="A59" s="322" t="s">
        <v>583</v>
      </c>
      <c r="B59" s="287" t="s">
        <v>239</v>
      </c>
      <c r="C59" s="304"/>
      <c r="D59" s="305"/>
      <c r="E59" s="305" t="s">
        <v>75</v>
      </c>
      <c r="F59" s="125">
        <v>3250000</v>
      </c>
      <c r="G59" s="356"/>
      <c r="H59" s="357"/>
      <c r="I59" s="358"/>
      <c r="J59" s="358"/>
      <c r="K59" s="359"/>
      <c r="L59" s="325"/>
    </row>
    <row r="60" spans="1:12" s="326" customFormat="1" ht="30">
      <c r="A60" s="322" t="s">
        <v>646</v>
      </c>
      <c r="B60" s="230" t="s">
        <v>240</v>
      </c>
      <c r="C60" s="304"/>
      <c r="D60" s="305"/>
      <c r="E60" s="305" t="s">
        <v>75</v>
      </c>
      <c r="F60" s="125">
        <v>2673250</v>
      </c>
      <c r="G60" s="356"/>
      <c r="H60" s="357"/>
      <c r="I60" s="358"/>
      <c r="J60" s="358"/>
      <c r="K60" s="359"/>
      <c r="L60" s="325"/>
    </row>
    <row r="61" spans="1:12" s="326" customFormat="1" ht="28.5" customHeight="1">
      <c r="A61" s="322" t="s">
        <v>647</v>
      </c>
      <c r="B61" s="331" t="s">
        <v>241</v>
      </c>
      <c r="C61" s="332"/>
      <c r="D61" s="153"/>
      <c r="E61" s="305" t="s">
        <v>75</v>
      </c>
      <c r="F61" s="125">
        <v>7000000</v>
      </c>
      <c r="G61" s="356"/>
      <c r="H61" s="357"/>
      <c r="I61" s="358"/>
      <c r="J61" s="358"/>
      <c r="K61" s="359"/>
      <c r="L61" s="325"/>
    </row>
    <row r="62" spans="1:12" s="326" customFormat="1" ht="45">
      <c r="A62" s="322" t="s">
        <v>648</v>
      </c>
      <c r="B62" s="285" t="s">
        <v>243</v>
      </c>
      <c r="C62" s="151">
        <v>0.02</v>
      </c>
      <c r="D62" s="343"/>
      <c r="E62" s="305" t="s">
        <v>75</v>
      </c>
      <c r="F62" s="125">
        <v>15000</v>
      </c>
      <c r="G62" s="356"/>
      <c r="H62" s="357"/>
      <c r="I62" s="358"/>
      <c r="J62" s="358"/>
      <c r="K62" s="359"/>
      <c r="L62" s="325"/>
    </row>
    <row r="63" spans="1:12" s="326" customFormat="1" ht="45">
      <c r="A63" s="322" t="s">
        <v>649</v>
      </c>
      <c r="B63" s="230" t="s">
        <v>244</v>
      </c>
      <c r="C63" s="304">
        <v>0.133</v>
      </c>
      <c r="D63" s="305"/>
      <c r="E63" s="305" t="s">
        <v>75</v>
      </c>
      <c r="F63" s="125">
        <v>32000</v>
      </c>
      <c r="G63" s="356"/>
      <c r="H63" s="357"/>
      <c r="I63" s="358"/>
      <c r="J63" s="358"/>
      <c r="K63" s="359"/>
      <c r="L63" s="325"/>
    </row>
    <row r="64" spans="1:12" s="326" customFormat="1" ht="45">
      <c r="A64" s="391" t="s">
        <v>650</v>
      </c>
      <c r="B64" s="116" t="s">
        <v>275</v>
      </c>
      <c r="C64" s="296">
        <v>5.3575</v>
      </c>
      <c r="D64" s="309"/>
      <c r="E64" s="333"/>
      <c r="F64" s="125">
        <f>F65+F67+F66</f>
        <v>46356075</v>
      </c>
      <c r="G64" s="356"/>
      <c r="H64" s="357"/>
      <c r="I64" s="358"/>
      <c r="J64" s="358"/>
      <c r="K64" s="359"/>
      <c r="L64" s="325"/>
    </row>
    <row r="65" spans="1:12" s="326" customFormat="1" ht="15">
      <c r="A65" s="441"/>
      <c r="B65" s="254" t="s">
        <v>276</v>
      </c>
      <c r="C65" s="296"/>
      <c r="D65" s="309"/>
      <c r="E65" s="323" t="s">
        <v>74</v>
      </c>
      <c r="F65" s="255">
        <v>32449252</v>
      </c>
      <c r="G65" s="356"/>
      <c r="H65" s="357"/>
      <c r="I65" s="358"/>
      <c r="J65" s="358"/>
      <c r="K65" s="359"/>
      <c r="L65" s="325"/>
    </row>
    <row r="66" spans="1:12" s="326" customFormat="1" ht="15">
      <c r="A66" s="441"/>
      <c r="B66" s="116" t="s">
        <v>277</v>
      </c>
      <c r="C66" s="296"/>
      <c r="D66" s="309"/>
      <c r="E66" s="323" t="s">
        <v>75</v>
      </c>
      <c r="F66" s="125">
        <v>12285158</v>
      </c>
      <c r="G66" s="356"/>
      <c r="H66" s="357"/>
      <c r="I66" s="358"/>
      <c r="J66" s="358"/>
      <c r="K66" s="359"/>
      <c r="L66" s="325"/>
    </row>
    <row r="67" spans="1:12" s="326" customFormat="1" ht="15">
      <c r="A67" s="406" t="s">
        <v>686</v>
      </c>
      <c r="B67" s="116" t="s">
        <v>93</v>
      </c>
      <c r="C67" s="296"/>
      <c r="D67" s="309"/>
      <c r="E67" s="323" t="s">
        <v>75</v>
      </c>
      <c r="F67" s="125">
        <v>1621665</v>
      </c>
      <c r="G67" s="356"/>
      <c r="H67" s="357"/>
      <c r="I67" s="358"/>
      <c r="J67" s="358"/>
      <c r="K67" s="359"/>
      <c r="L67" s="325"/>
    </row>
    <row r="68" spans="1:12" s="326" customFormat="1" ht="45">
      <c r="A68" s="407"/>
      <c r="B68" s="227" t="s">
        <v>278</v>
      </c>
      <c r="C68" s="296">
        <v>3.579</v>
      </c>
      <c r="D68" s="309"/>
      <c r="E68" s="333"/>
      <c r="F68" s="125">
        <f>F69+F71+F70</f>
        <v>72731667</v>
      </c>
      <c r="G68" s="356"/>
      <c r="H68" s="357"/>
      <c r="I68" s="358"/>
      <c r="J68" s="358"/>
      <c r="K68" s="359"/>
      <c r="L68" s="325"/>
    </row>
    <row r="69" spans="1:12" s="326" customFormat="1" ht="15">
      <c r="A69" s="407"/>
      <c r="B69" s="254" t="s">
        <v>276</v>
      </c>
      <c r="C69" s="296"/>
      <c r="D69" s="309"/>
      <c r="E69" s="323" t="s">
        <v>74</v>
      </c>
      <c r="F69" s="256">
        <v>42124830</v>
      </c>
      <c r="G69" s="356"/>
      <c r="H69" s="357"/>
      <c r="I69" s="358"/>
      <c r="J69" s="358"/>
      <c r="K69" s="359"/>
      <c r="L69" s="325"/>
    </row>
    <row r="70" spans="1:12" s="326" customFormat="1" ht="15">
      <c r="A70" s="407"/>
      <c r="B70" s="116" t="s">
        <v>277</v>
      </c>
      <c r="C70" s="296"/>
      <c r="D70" s="309"/>
      <c r="E70" s="323" t="s">
        <v>75</v>
      </c>
      <c r="F70" s="125">
        <v>29656491</v>
      </c>
      <c r="G70" s="356"/>
      <c r="H70" s="357"/>
      <c r="I70" s="358"/>
      <c r="J70" s="358"/>
      <c r="K70" s="359"/>
      <c r="L70" s="325"/>
    </row>
    <row r="71" spans="1:12" s="326" customFormat="1" ht="15">
      <c r="A71" s="407"/>
      <c r="B71" s="116" t="s">
        <v>93</v>
      </c>
      <c r="C71" s="296"/>
      <c r="D71" s="309"/>
      <c r="E71" s="323" t="s">
        <v>75</v>
      </c>
      <c r="F71" s="125">
        <v>950346</v>
      </c>
      <c r="G71" s="356"/>
      <c r="H71" s="357"/>
      <c r="I71" s="358"/>
      <c r="J71" s="358"/>
      <c r="K71" s="359"/>
      <c r="L71" s="325"/>
    </row>
    <row r="72" spans="1:12" s="326" customFormat="1" ht="45">
      <c r="A72" s="391" t="s">
        <v>687</v>
      </c>
      <c r="B72" s="117" t="s">
        <v>160</v>
      </c>
      <c r="C72" s="296">
        <v>3.74</v>
      </c>
      <c r="D72" s="309"/>
      <c r="E72" s="333"/>
      <c r="F72" s="125">
        <f>F73+F76+F75+F74</f>
        <v>44232398</v>
      </c>
      <c r="G72" s="356"/>
      <c r="H72" s="357"/>
      <c r="I72" s="358"/>
      <c r="J72" s="358"/>
      <c r="K72" s="359"/>
      <c r="L72" s="325"/>
    </row>
    <row r="73" spans="1:12" s="326" customFormat="1" ht="15">
      <c r="A73" s="391"/>
      <c r="B73" s="254" t="s">
        <v>276</v>
      </c>
      <c r="C73" s="296"/>
      <c r="D73" s="309"/>
      <c r="E73" s="323" t="s">
        <v>74</v>
      </c>
      <c r="F73" s="255">
        <v>30787678</v>
      </c>
      <c r="G73" s="356"/>
      <c r="H73" s="357"/>
      <c r="I73" s="358"/>
      <c r="J73" s="358"/>
      <c r="K73" s="359"/>
      <c r="L73" s="325"/>
    </row>
    <row r="74" spans="1:12" s="326" customFormat="1" ht="15">
      <c r="A74" s="391"/>
      <c r="B74" s="116" t="s">
        <v>277</v>
      </c>
      <c r="C74" s="296"/>
      <c r="D74" s="309"/>
      <c r="E74" s="323" t="s">
        <v>75</v>
      </c>
      <c r="F74" s="125">
        <v>12068667</v>
      </c>
      <c r="G74" s="356"/>
      <c r="H74" s="357"/>
      <c r="I74" s="358"/>
      <c r="J74" s="358"/>
      <c r="K74" s="359"/>
      <c r="L74" s="325"/>
    </row>
    <row r="75" spans="1:12" s="326" customFormat="1" ht="15">
      <c r="A75" s="391"/>
      <c r="B75" s="116" t="s">
        <v>93</v>
      </c>
      <c r="C75" s="296"/>
      <c r="D75" s="309"/>
      <c r="E75" s="323" t="s">
        <v>75</v>
      </c>
      <c r="F75" s="125">
        <v>1126053</v>
      </c>
      <c r="G75" s="356"/>
      <c r="H75" s="357"/>
      <c r="I75" s="358"/>
      <c r="J75" s="358"/>
      <c r="K75" s="359"/>
      <c r="L75" s="325"/>
    </row>
    <row r="76" spans="1:12" s="326" customFormat="1" ht="15">
      <c r="A76" s="391"/>
      <c r="B76" s="116" t="s">
        <v>94</v>
      </c>
      <c r="C76" s="296"/>
      <c r="D76" s="309"/>
      <c r="E76" s="323" t="s">
        <v>75</v>
      </c>
      <c r="F76" s="125">
        <v>250000</v>
      </c>
      <c r="G76" s="356"/>
      <c r="H76" s="357"/>
      <c r="I76" s="358"/>
      <c r="J76" s="358"/>
      <c r="K76" s="359"/>
      <c r="L76" s="325"/>
    </row>
    <row r="77" spans="1:12" s="326" customFormat="1" ht="45">
      <c r="A77" s="391" t="s">
        <v>688</v>
      </c>
      <c r="B77" s="117" t="s">
        <v>279</v>
      </c>
      <c r="C77" s="296">
        <v>2.2256</v>
      </c>
      <c r="D77" s="309"/>
      <c r="E77" s="333"/>
      <c r="F77" s="125">
        <f>F79+F80+F78</f>
        <v>20616483</v>
      </c>
      <c r="G77" s="356"/>
      <c r="H77" s="357"/>
      <c r="I77" s="358"/>
      <c r="J77" s="358"/>
      <c r="K77" s="359"/>
      <c r="L77" s="325"/>
    </row>
    <row r="78" spans="1:12" s="326" customFormat="1" ht="15">
      <c r="A78" s="391"/>
      <c r="B78" s="254" t="s">
        <v>276</v>
      </c>
      <c r="C78" s="296"/>
      <c r="D78" s="309"/>
      <c r="E78" s="323" t="s">
        <v>74</v>
      </c>
      <c r="F78" s="255">
        <v>14431538</v>
      </c>
      <c r="G78" s="356"/>
      <c r="H78" s="357"/>
      <c r="I78" s="358"/>
      <c r="J78" s="358"/>
      <c r="K78" s="359"/>
      <c r="L78" s="325"/>
    </row>
    <row r="79" spans="1:12" s="326" customFormat="1" ht="15">
      <c r="A79" s="391"/>
      <c r="B79" s="116" t="s">
        <v>277</v>
      </c>
      <c r="C79" s="296"/>
      <c r="D79" s="309"/>
      <c r="E79" s="323" t="s">
        <v>75</v>
      </c>
      <c r="F79" s="125">
        <v>5864929</v>
      </c>
      <c r="G79" s="356"/>
      <c r="H79" s="357"/>
      <c r="I79" s="358"/>
      <c r="J79" s="358"/>
      <c r="K79" s="359"/>
      <c r="L79" s="325"/>
    </row>
    <row r="80" spans="1:12" s="326" customFormat="1" ht="15">
      <c r="A80" s="391"/>
      <c r="B80" s="116" t="s">
        <v>93</v>
      </c>
      <c r="C80" s="296"/>
      <c r="D80" s="309"/>
      <c r="E80" s="323" t="s">
        <v>75</v>
      </c>
      <c r="F80" s="125">
        <v>320016</v>
      </c>
      <c r="G80" s="356"/>
      <c r="H80" s="357"/>
      <c r="I80" s="358"/>
      <c r="J80" s="358"/>
      <c r="K80" s="359"/>
      <c r="L80" s="325"/>
    </row>
    <row r="81" spans="1:12" s="326" customFormat="1" ht="30">
      <c r="A81" s="406" t="s">
        <v>689</v>
      </c>
      <c r="B81" s="117" t="s">
        <v>280</v>
      </c>
      <c r="C81" s="296">
        <v>0.931</v>
      </c>
      <c r="D81" s="309"/>
      <c r="E81" s="333"/>
      <c r="F81" s="125">
        <f>F82+F84+F83</f>
        <v>10222554</v>
      </c>
      <c r="G81" s="356"/>
      <c r="H81" s="357"/>
      <c r="I81" s="358"/>
      <c r="J81" s="358"/>
      <c r="K81" s="359"/>
      <c r="L81" s="325"/>
    </row>
    <row r="82" spans="1:12" s="326" customFormat="1" ht="15">
      <c r="A82" s="407"/>
      <c r="B82" s="254" t="s">
        <v>276</v>
      </c>
      <c r="C82" s="296"/>
      <c r="D82" s="309"/>
      <c r="E82" s="323" t="s">
        <v>74</v>
      </c>
      <c r="F82" s="255">
        <v>7155787</v>
      </c>
      <c r="G82" s="356"/>
      <c r="H82" s="357"/>
      <c r="I82" s="358"/>
      <c r="J82" s="358"/>
      <c r="K82" s="359"/>
      <c r="L82" s="325"/>
    </row>
    <row r="83" spans="1:12" s="326" customFormat="1" ht="15">
      <c r="A83" s="407"/>
      <c r="B83" s="116" t="s">
        <v>277</v>
      </c>
      <c r="C83" s="296"/>
      <c r="D83" s="309"/>
      <c r="E83" s="323" t="s">
        <v>75</v>
      </c>
      <c r="F83" s="125">
        <v>2899678</v>
      </c>
      <c r="G83" s="356"/>
      <c r="H83" s="357"/>
      <c r="I83" s="358"/>
      <c r="J83" s="358"/>
      <c r="K83" s="359"/>
      <c r="L83" s="325"/>
    </row>
    <row r="84" spans="1:12" s="326" customFormat="1" ht="15">
      <c r="A84" s="408"/>
      <c r="B84" s="116" t="s">
        <v>93</v>
      </c>
      <c r="C84" s="296"/>
      <c r="D84" s="309"/>
      <c r="E84" s="323" t="s">
        <v>75</v>
      </c>
      <c r="F84" s="125">
        <v>167089</v>
      </c>
      <c r="G84" s="356"/>
      <c r="H84" s="357"/>
      <c r="I84" s="358"/>
      <c r="J84" s="358"/>
      <c r="K84" s="359"/>
      <c r="L84" s="325"/>
    </row>
    <row r="85" spans="1:12" s="326" customFormat="1" ht="45">
      <c r="A85" s="406" t="s">
        <v>690</v>
      </c>
      <c r="B85" s="116" t="s">
        <v>281</v>
      </c>
      <c r="C85" s="296">
        <v>3.584</v>
      </c>
      <c r="D85" s="309"/>
      <c r="E85" s="333"/>
      <c r="F85" s="125">
        <f>F86+F88+F87</f>
        <v>43382321</v>
      </c>
      <c r="G85" s="356"/>
      <c r="H85" s="357"/>
      <c r="I85" s="358"/>
      <c r="J85" s="358"/>
      <c r="K85" s="359"/>
      <c r="L85" s="325"/>
    </row>
    <row r="86" spans="1:12" s="326" customFormat="1" ht="15">
      <c r="A86" s="407"/>
      <c r="B86" s="254" t="s">
        <v>276</v>
      </c>
      <c r="C86" s="296"/>
      <c r="D86" s="309"/>
      <c r="E86" s="323" t="s">
        <v>74</v>
      </c>
      <c r="F86" s="255">
        <v>30367624</v>
      </c>
      <c r="G86" s="356"/>
      <c r="H86" s="357"/>
      <c r="I86" s="358"/>
      <c r="J86" s="358"/>
      <c r="K86" s="359"/>
      <c r="L86" s="325"/>
    </row>
    <row r="87" spans="1:12" s="326" customFormat="1" ht="15">
      <c r="A87" s="407"/>
      <c r="B87" s="116" t="s">
        <v>277</v>
      </c>
      <c r="C87" s="296"/>
      <c r="D87" s="309"/>
      <c r="E87" s="323" t="s">
        <v>75</v>
      </c>
      <c r="F87" s="125">
        <v>11555597</v>
      </c>
      <c r="G87" s="356"/>
      <c r="H87" s="357"/>
      <c r="I87" s="358"/>
      <c r="J87" s="358"/>
      <c r="K87" s="359"/>
      <c r="L87" s="325"/>
    </row>
    <row r="88" spans="1:12" s="326" customFormat="1" ht="15">
      <c r="A88" s="407"/>
      <c r="B88" s="116" t="s">
        <v>93</v>
      </c>
      <c r="C88" s="296"/>
      <c r="D88" s="309"/>
      <c r="E88" s="323" t="s">
        <v>75</v>
      </c>
      <c r="F88" s="125">
        <v>1459100</v>
      </c>
      <c r="G88" s="356"/>
      <c r="H88" s="357"/>
      <c r="I88" s="358"/>
      <c r="J88" s="358"/>
      <c r="K88" s="359"/>
      <c r="L88" s="325"/>
    </row>
    <row r="89" spans="1:12" s="326" customFormat="1" ht="30">
      <c r="A89" s="407" t="s">
        <v>691</v>
      </c>
      <c r="B89" s="116" t="s">
        <v>282</v>
      </c>
      <c r="C89" s="296">
        <v>0.434</v>
      </c>
      <c r="D89" s="309"/>
      <c r="E89" s="333"/>
      <c r="F89" s="125">
        <f>F90+F92+F91</f>
        <v>15996738</v>
      </c>
      <c r="G89" s="356"/>
      <c r="H89" s="357"/>
      <c r="I89" s="358"/>
      <c r="J89" s="358"/>
      <c r="K89" s="359"/>
      <c r="L89" s="325"/>
    </row>
    <row r="90" spans="1:12" s="326" customFormat="1" ht="15">
      <c r="A90" s="430"/>
      <c r="B90" s="254" t="s">
        <v>276</v>
      </c>
      <c r="C90" s="296"/>
      <c r="D90" s="309"/>
      <c r="E90" s="323" t="s">
        <v>74</v>
      </c>
      <c r="F90" s="255">
        <v>5108180</v>
      </c>
      <c r="G90" s="356"/>
      <c r="H90" s="357"/>
      <c r="I90" s="358"/>
      <c r="J90" s="358"/>
      <c r="K90" s="359"/>
      <c r="L90" s="325"/>
    </row>
    <row r="91" spans="1:12" s="326" customFormat="1" ht="15">
      <c r="A91" s="430"/>
      <c r="B91" s="116" t="s">
        <v>277</v>
      </c>
      <c r="C91" s="296"/>
      <c r="D91" s="309"/>
      <c r="E91" s="323" t="s">
        <v>75</v>
      </c>
      <c r="F91" s="125">
        <v>10404443</v>
      </c>
      <c r="G91" s="356"/>
      <c r="H91" s="357"/>
      <c r="I91" s="358"/>
      <c r="J91" s="358"/>
      <c r="K91" s="359"/>
      <c r="L91" s="325"/>
    </row>
    <row r="92" spans="1:12" s="326" customFormat="1" ht="15">
      <c r="A92" s="430"/>
      <c r="B92" s="116" t="s">
        <v>93</v>
      </c>
      <c r="C92" s="296"/>
      <c r="D92" s="309"/>
      <c r="E92" s="323" t="s">
        <v>75</v>
      </c>
      <c r="F92" s="125">
        <v>484115</v>
      </c>
      <c r="G92" s="356"/>
      <c r="H92" s="357"/>
      <c r="I92" s="358"/>
      <c r="J92" s="358"/>
      <c r="K92" s="359"/>
      <c r="L92" s="325"/>
    </row>
    <row r="93" spans="1:12" s="326" customFormat="1" ht="45">
      <c r="A93" s="407" t="s">
        <v>692</v>
      </c>
      <c r="B93" s="117" t="s">
        <v>283</v>
      </c>
      <c r="C93" s="296">
        <v>1.6143</v>
      </c>
      <c r="D93" s="309"/>
      <c r="E93" s="333"/>
      <c r="F93" s="125">
        <f>F94+F96+F95</f>
        <v>21479672</v>
      </c>
      <c r="G93" s="356"/>
      <c r="H93" s="357"/>
      <c r="I93" s="358"/>
      <c r="J93" s="358"/>
      <c r="K93" s="359"/>
      <c r="L93" s="325"/>
    </row>
    <row r="94" spans="1:12" s="326" customFormat="1" ht="15">
      <c r="A94" s="430"/>
      <c r="B94" s="254" t="s">
        <v>276</v>
      </c>
      <c r="C94" s="296"/>
      <c r="D94" s="309"/>
      <c r="E94" s="323" t="s">
        <v>74</v>
      </c>
      <c r="F94" s="255">
        <v>15035770</v>
      </c>
      <c r="G94" s="356"/>
      <c r="H94" s="357"/>
      <c r="I94" s="358"/>
      <c r="J94" s="358"/>
      <c r="K94" s="359"/>
      <c r="L94" s="325"/>
    </row>
    <row r="95" spans="1:12" s="326" customFormat="1" ht="15">
      <c r="A95" s="430"/>
      <c r="B95" s="116" t="s">
        <v>277</v>
      </c>
      <c r="C95" s="296"/>
      <c r="D95" s="309"/>
      <c r="E95" s="323" t="s">
        <v>75</v>
      </c>
      <c r="F95" s="125">
        <v>6106784</v>
      </c>
      <c r="G95" s="356"/>
      <c r="H95" s="357"/>
      <c r="I95" s="358"/>
      <c r="J95" s="358"/>
      <c r="K95" s="359"/>
      <c r="L95" s="325"/>
    </row>
    <row r="96" spans="1:12" s="326" customFormat="1" ht="15">
      <c r="A96" s="431"/>
      <c r="B96" s="116" t="s">
        <v>93</v>
      </c>
      <c r="C96" s="296"/>
      <c r="D96" s="309"/>
      <c r="E96" s="323" t="s">
        <v>75</v>
      </c>
      <c r="F96" s="125">
        <v>337118</v>
      </c>
      <c r="G96" s="356"/>
      <c r="H96" s="357"/>
      <c r="I96" s="358"/>
      <c r="J96" s="358"/>
      <c r="K96" s="359"/>
      <c r="L96" s="325"/>
    </row>
    <row r="97" spans="1:12" s="326" customFormat="1" ht="45">
      <c r="A97" s="391" t="s">
        <v>693</v>
      </c>
      <c r="B97" s="227" t="s">
        <v>284</v>
      </c>
      <c r="C97" s="296">
        <v>3.2</v>
      </c>
      <c r="D97" s="309"/>
      <c r="E97" s="333"/>
      <c r="F97" s="125">
        <f>F98+F100+F99</f>
        <v>62089215</v>
      </c>
      <c r="G97" s="356"/>
      <c r="H97" s="357"/>
      <c r="I97" s="358"/>
      <c r="J97" s="358"/>
      <c r="K97" s="359"/>
      <c r="L97" s="325"/>
    </row>
    <row r="98" spans="1:12" s="326" customFormat="1" ht="15">
      <c r="A98" s="391"/>
      <c r="B98" s="254" t="s">
        <v>276</v>
      </c>
      <c r="C98" s="296"/>
      <c r="D98" s="309"/>
      <c r="E98" s="323" t="s">
        <v>74</v>
      </c>
      <c r="F98" s="255">
        <v>37664000</v>
      </c>
      <c r="G98" s="356"/>
      <c r="H98" s="357"/>
      <c r="I98" s="358"/>
      <c r="J98" s="358"/>
      <c r="K98" s="359"/>
      <c r="L98" s="325"/>
    </row>
    <row r="99" spans="1:12" s="326" customFormat="1" ht="15">
      <c r="A99" s="391"/>
      <c r="B99" s="116" t="s">
        <v>277</v>
      </c>
      <c r="C99" s="296"/>
      <c r="D99" s="309"/>
      <c r="E99" s="323" t="s">
        <v>75</v>
      </c>
      <c r="F99" s="125">
        <v>23410304</v>
      </c>
      <c r="G99" s="356"/>
      <c r="H99" s="357"/>
      <c r="I99" s="358"/>
      <c r="J99" s="358"/>
      <c r="K99" s="359"/>
      <c r="L99" s="325"/>
    </row>
    <row r="100" spans="1:12" s="326" customFormat="1" ht="15">
      <c r="A100" s="391"/>
      <c r="B100" s="116" t="s">
        <v>93</v>
      </c>
      <c r="C100" s="296"/>
      <c r="D100" s="309"/>
      <c r="E100" s="323" t="s">
        <v>75</v>
      </c>
      <c r="F100" s="125">
        <v>1014911</v>
      </c>
      <c r="G100" s="356"/>
      <c r="H100" s="357"/>
      <c r="I100" s="358"/>
      <c r="J100" s="358"/>
      <c r="K100" s="359"/>
      <c r="L100" s="325"/>
    </row>
    <row r="101" spans="1:12" s="326" customFormat="1" ht="60">
      <c r="A101" s="391" t="s">
        <v>694</v>
      </c>
      <c r="B101" s="226" t="s">
        <v>285</v>
      </c>
      <c r="C101" s="296">
        <v>5.646</v>
      </c>
      <c r="D101" s="309"/>
      <c r="E101" s="333"/>
      <c r="F101" s="125">
        <f>F102+F104+F103</f>
        <v>92095696</v>
      </c>
      <c r="G101" s="356"/>
      <c r="H101" s="357"/>
      <c r="I101" s="358"/>
      <c r="J101" s="358"/>
      <c r="K101" s="359"/>
      <c r="L101" s="325"/>
    </row>
    <row r="102" spans="1:12" s="326" customFormat="1" ht="15">
      <c r="A102" s="435"/>
      <c r="B102" s="254" t="s">
        <v>276</v>
      </c>
      <c r="C102" s="296"/>
      <c r="D102" s="309"/>
      <c r="E102" s="323" t="s">
        <v>74</v>
      </c>
      <c r="F102" s="255">
        <v>64466987</v>
      </c>
      <c r="G102" s="356"/>
      <c r="H102" s="357"/>
      <c r="I102" s="358"/>
      <c r="J102" s="358"/>
      <c r="K102" s="359"/>
      <c r="L102" s="325"/>
    </row>
    <row r="103" spans="1:12" s="326" customFormat="1" ht="15">
      <c r="A103" s="435"/>
      <c r="B103" s="116" t="s">
        <v>277</v>
      </c>
      <c r="C103" s="296"/>
      <c r="D103" s="309"/>
      <c r="E103" s="323" t="s">
        <v>75</v>
      </c>
      <c r="F103" s="125">
        <v>26233845</v>
      </c>
      <c r="G103" s="356"/>
      <c r="H103" s="357"/>
      <c r="I103" s="358"/>
      <c r="J103" s="358"/>
      <c r="K103" s="359"/>
      <c r="L103" s="325"/>
    </row>
    <row r="104" spans="1:12" s="326" customFormat="1" ht="15">
      <c r="A104" s="435"/>
      <c r="B104" s="116" t="s">
        <v>93</v>
      </c>
      <c r="C104" s="427">
        <v>5.053</v>
      </c>
      <c r="D104" s="432"/>
      <c r="E104" s="323" t="s">
        <v>75</v>
      </c>
      <c r="F104" s="125">
        <v>1394864</v>
      </c>
      <c r="G104" s="356"/>
      <c r="H104" s="357"/>
      <c r="I104" s="358"/>
      <c r="J104" s="358"/>
      <c r="K104" s="359"/>
      <c r="L104" s="325"/>
    </row>
    <row r="105" spans="1:12" s="326" customFormat="1" ht="45">
      <c r="A105" s="391" t="s">
        <v>695</v>
      </c>
      <c r="B105" s="226" t="s">
        <v>286</v>
      </c>
      <c r="C105" s="428"/>
      <c r="D105" s="433"/>
      <c r="E105" s="305"/>
      <c r="F105" s="125">
        <f>F106+F108+F107</f>
        <v>100746032</v>
      </c>
      <c r="G105" s="356"/>
      <c r="H105" s="357"/>
      <c r="I105" s="358"/>
      <c r="J105" s="358"/>
      <c r="K105" s="359"/>
      <c r="L105" s="325"/>
    </row>
    <row r="106" spans="1:12" s="326" customFormat="1" ht="15">
      <c r="A106" s="435"/>
      <c r="B106" s="254" t="s">
        <v>276</v>
      </c>
      <c r="C106" s="428"/>
      <c r="D106" s="433"/>
      <c r="E106" s="323" t="s">
        <v>74</v>
      </c>
      <c r="F106" s="255">
        <v>59473810</v>
      </c>
      <c r="G106" s="356"/>
      <c r="H106" s="357"/>
      <c r="I106" s="358"/>
      <c r="J106" s="358"/>
      <c r="K106" s="359"/>
      <c r="L106" s="325"/>
    </row>
    <row r="107" spans="1:12" s="326" customFormat="1" ht="15">
      <c r="A107" s="435"/>
      <c r="B107" s="116" t="s">
        <v>277</v>
      </c>
      <c r="C107" s="429"/>
      <c r="D107" s="434"/>
      <c r="E107" s="323" t="s">
        <v>75</v>
      </c>
      <c r="F107" s="125">
        <v>39754345</v>
      </c>
      <c r="G107" s="356"/>
      <c r="H107" s="357"/>
      <c r="I107" s="358"/>
      <c r="J107" s="358"/>
      <c r="K107" s="359"/>
      <c r="L107" s="325"/>
    </row>
    <row r="108" spans="1:12" s="326" customFormat="1" ht="15">
      <c r="A108" s="435"/>
      <c r="B108" s="116" t="s">
        <v>93</v>
      </c>
      <c r="C108" s="313"/>
      <c r="D108" s="316"/>
      <c r="E108" s="323" t="s">
        <v>75</v>
      </c>
      <c r="F108" s="125">
        <v>1517877</v>
      </c>
      <c r="G108" s="356"/>
      <c r="H108" s="357"/>
      <c r="I108" s="358"/>
      <c r="J108" s="358"/>
      <c r="K108" s="359"/>
      <c r="L108" s="325"/>
    </row>
    <row r="109" spans="1:12" s="326" customFormat="1" ht="45">
      <c r="A109" s="424" t="s">
        <v>696</v>
      </c>
      <c r="B109" s="335" t="s">
        <v>288</v>
      </c>
      <c r="C109" s="298">
        <v>4.925</v>
      </c>
      <c r="D109" s="310"/>
      <c r="E109" s="333"/>
      <c r="F109" s="125">
        <f>F111+F112+F110</f>
        <v>4067485.66</v>
      </c>
      <c r="G109" s="356"/>
      <c r="H109" s="357"/>
      <c r="I109" s="358"/>
      <c r="J109" s="358"/>
      <c r="K109" s="359"/>
      <c r="L109" s="325"/>
    </row>
    <row r="110" spans="1:12" s="326" customFormat="1" ht="15">
      <c r="A110" s="425"/>
      <c r="B110" s="254" t="s">
        <v>276</v>
      </c>
      <c r="C110" s="298"/>
      <c r="D110" s="310"/>
      <c r="E110" s="323" t="s">
        <v>74</v>
      </c>
      <c r="F110" s="125"/>
      <c r="G110" s="356"/>
      <c r="H110" s="357"/>
      <c r="I110" s="358"/>
      <c r="J110" s="358"/>
      <c r="K110" s="359"/>
      <c r="L110" s="325"/>
    </row>
    <row r="111" spans="1:12" s="326" customFormat="1" ht="15">
      <c r="A111" s="425"/>
      <c r="B111" s="116" t="s">
        <v>277</v>
      </c>
      <c r="C111" s="298"/>
      <c r="D111" s="310"/>
      <c r="E111" s="305" t="s">
        <v>75</v>
      </c>
      <c r="F111" s="125">
        <v>3769833.79</v>
      </c>
      <c r="G111" s="356"/>
      <c r="H111" s="357"/>
      <c r="I111" s="358"/>
      <c r="J111" s="358"/>
      <c r="K111" s="359"/>
      <c r="L111" s="325"/>
    </row>
    <row r="112" spans="1:12" s="326" customFormat="1" ht="15">
      <c r="A112" s="426"/>
      <c r="B112" s="116" t="s">
        <v>93</v>
      </c>
      <c r="C112" s="298"/>
      <c r="D112" s="310"/>
      <c r="E112" s="305" t="s">
        <v>75</v>
      </c>
      <c r="F112" s="125">
        <f>197651.87+100000</f>
        <v>297651.87</v>
      </c>
      <c r="G112" s="356"/>
      <c r="H112" s="357"/>
      <c r="I112" s="358"/>
      <c r="J112" s="358"/>
      <c r="K112" s="359"/>
      <c r="L112" s="325"/>
    </row>
    <row r="113" spans="1:12" s="326" customFormat="1" ht="45">
      <c r="A113" s="424" t="s">
        <v>697</v>
      </c>
      <c r="B113" s="116" t="s">
        <v>289</v>
      </c>
      <c r="C113" s="298">
        <v>5</v>
      </c>
      <c r="D113" s="310"/>
      <c r="E113" s="333"/>
      <c r="F113" s="125">
        <f>F115+F117+F116+F114</f>
        <v>1652678.8599999999</v>
      </c>
      <c r="G113" s="356"/>
      <c r="H113" s="357"/>
      <c r="I113" s="358"/>
      <c r="J113" s="358"/>
      <c r="K113" s="359"/>
      <c r="L113" s="325"/>
    </row>
    <row r="114" spans="1:12" s="326" customFormat="1" ht="15">
      <c r="A114" s="425"/>
      <c r="B114" s="254" t="s">
        <v>276</v>
      </c>
      <c r="C114" s="298"/>
      <c r="D114" s="310"/>
      <c r="E114" s="323" t="s">
        <v>74</v>
      </c>
      <c r="F114" s="125"/>
      <c r="G114" s="356"/>
      <c r="H114" s="357"/>
      <c r="I114" s="358"/>
      <c r="J114" s="358"/>
      <c r="K114" s="359"/>
      <c r="L114" s="325"/>
    </row>
    <row r="115" spans="1:12" s="326" customFormat="1" ht="15">
      <c r="A115" s="425"/>
      <c r="B115" s="116" t="s">
        <v>277</v>
      </c>
      <c r="C115" s="298"/>
      <c r="D115" s="310"/>
      <c r="E115" s="305" t="s">
        <v>75</v>
      </c>
      <c r="F115" s="125">
        <v>665162.86</v>
      </c>
      <c r="G115" s="356"/>
      <c r="H115" s="357"/>
      <c r="I115" s="358"/>
      <c r="J115" s="358"/>
      <c r="K115" s="359"/>
      <c r="L115" s="325"/>
    </row>
    <row r="116" spans="1:12" s="326" customFormat="1" ht="15">
      <c r="A116" s="425"/>
      <c r="B116" s="226" t="s">
        <v>93</v>
      </c>
      <c r="C116" s="298"/>
      <c r="D116" s="310"/>
      <c r="E116" s="305" t="s">
        <v>75</v>
      </c>
      <c r="F116" s="125">
        <v>694216</v>
      </c>
      <c r="G116" s="356"/>
      <c r="H116" s="357"/>
      <c r="I116" s="358"/>
      <c r="J116" s="358"/>
      <c r="K116" s="359"/>
      <c r="L116" s="325"/>
    </row>
    <row r="117" spans="1:12" s="326" customFormat="1" ht="15">
      <c r="A117" s="426"/>
      <c r="B117" s="116" t="s">
        <v>94</v>
      </c>
      <c r="C117" s="298"/>
      <c r="D117" s="310"/>
      <c r="E117" s="305" t="s">
        <v>75</v>
      </c>
      <c r="F117" s="125">
        <v>293300</v>
      </c>
      <c r="G117" s="356"/>
      <c r="H117" s="357"/>
      <c r="I117" s="358"/>
      <c r="J117" s="358"/>
      <c r="K117" s="359"/>
      <c r="L117" s="325"/>
    </row>
    <row r="118" spans="1:12" s="326" customFormat="1" ht="45">
      <c r="A118" s="424" t="s">
        <v>698</v>
      </c>
      <c r="B118" s="117" t="s">
        <v>290</v>
      </c>
      <c r="C118" s="298">
        <v>5</v>
      </c>
      <c r="D118" s="310"/>
      <c r="E118" s="333"/>
      <c r="F118" s="125">
        <f>F120+F121+F119</f>
        <v>1359896.41</v>
      </c>
      <c r="G118" s="356"/>
      <c r="H118" s="357"/>
      <c r="I118" s="358"/>
      <c r="J118" s="358"/>
      <c r="K118" s="359"/>
      <c r="L118" s="325"/>
    </row>
    <row r="119" spans="1:12" s="326" customFormat="1" ht="15">
      <c r="A119" s="425"/>
      <c r="B119" s="254" t="s">
        <v>276</v>
      </c>
      <c r="C119" s="320"/>
      <c r="D119" s="310"/>
      <c r="E119" s="323" t="s">
        <v>74</v>
      </c>
      <c r="F119" s="125"/>
      <c r="G119" s="356"/>
      <c r="H119" s="357"/>
      <c r="I119" s="358"/>
      <c r="J119" s="358"/>
      <c r="K119" s="359"/>
      <c r="L119" s="325"/>
    </row>
    <row r="120" spans="1:12" s="326" customFormat="1" ht="15">
      <c r="A120" s="425"/>
      <c r="B120" s="116" t="s">
        <v>277</v>
      </c>
      <c r="C120" s="320"/>
      <c r="D120" s="310"/>
      <c r="E120" s="305" t="s">
        <v>75</v>
      </c>
      <c r="F120" s="125">
        <v>1184096.41</v>
      </c>
      <c r="G120" s="356"/>
      <c r="H120" s="357"/>
      <c r="I120" s="358"/>
      <c r="J120" s="358"/>
      <c r="K120" s="359"/>
      <c r="L120" s="325"/>
    </row>
    <row r="121" spans="1:12" s="326" customFormat="1" ht="15">
      <c r="A121" s="426"/>
      <c r="B121" s="226" t="s">
        <v>93</v>
      </c>
      <c r="C121" s="320"/>
      <c r="D121" s="310"/>
      <c r="E121" s="305" t="s">
        <v>75</v>
      </c>
      <c r="F121" s="125">
        <v>175800</v>
      </c>
      <c r="G121" s="356"/>
      <c r="H121" s="357"/>
      <c r="I121" s="358"/>
      <c r="J121" s="358"/>
      <c r="K121" s="359"/>
      <c r="L121" s="325"/>
    </row>
    <row r="122" spans="1:12" s="326" customFormat="1" ht="45">
      <c r="A122" s="406" t="s">
        <v>699</v>
      </c>
      <c r="B122" s="116" t="s">
        <v>291</v>
      </c>
      <c r="C122" s="427">
        <v>1</v>
      </c>
      <c r="D122" s="403"/>
      <c r="E122" s="403" t="s">
        <v>75</v>
      </c>
      <c r="F122" s="125">
        <f>F123+F124</f>
        <v>28614646</v>
      </c>
      <c r="G122" s="356"/>
      <c r="H122" s="357"/>
      <c r="I122" s="358"/>
      <c r="J122" s="358"/>
      <c r="K122" s="359"/>
      <c r="L122" s="325"/>
    </row>
    <row r="123" spans="1:12" s="326" customFormat="1" ht="15" hidden="1">
      <c r="A123" s="407"/>
      <c r="B123" s="116" t="s">
        <v>95</v>
      </c>
      <c r="C123" s="428"/>
      <c r="D123" s="404"/>
      <c r="E123" s="404"/>
      <c r="F123" s="125">
        <f>4314000+23514000</f>
        <v>27828000</v>
      </c>
      <c r="G123" s="356"/>
      <c r="H123" s="357"/>
      <c r="I123" s="358"/>
      <c r="J123" s="358"/>
      <c r="K123" s="359"/>
      <c r="L123" s="325"/>
    </row>
    <row r="124" spans="1:12" s="326" customFormat="1" ht="15" hidden="1">
      <c r="A124" s="408"/>
      <c r="B124" s="116" t="s">
        <v>93</v>
      </c>
      <c r="C124" s="429"/>
      <c r="D124" s="405"/>
      <c r="E124" s="405"/>
      <c r="F124" s="125">
        <v>786646</v>
      </c>
      <c r="G124" s="356"/>
      <c r="H124" s="357"/>
      <c r="I124" s="358"/>
      <c r="J124" s="358"/>
      <c r="K124" s="359"/>
      <c r="L124" s="325"/>
    </row>
    <row r="125" spans="1:12" s="326" customFormat="1" ht="60">
      <c r="A125" s="406" t="s">
        <v>700</v>
      </c>
      <c r="B125" s="117" t="s">
        <v>292</v>
      </c>
      <c r="C125" s="409">
        <v>3.356</v>
      </c>
      <c r="D125" s="410"/>
      <c r="E125" s="403" t="s">
        <v>75</v>
      </c>
      <c r="F125" s="125">
        <f>F126+F127</f>
        <v>116088000</v>
      </c>
      <c r="G125" s="356"/>
      <c r="H125" s="357"/>
      <c r="I125" s="358"/>
      <c r="J125" s="358"/>
      <c r="K125" s="359"/>
      <c r="L125" s="325"/>
    </row>
    <row r="126" spans="1:12" s="326" customFormat="1" ht="15" hidden="1">
      <c r="A126" s="407"/>
      <c r="B126" s="116" t="s">
        <v>95</v>
      </c>
      <c r="C126" s="409"/>
      <c r="D126" s="410"/>
      <c r="E126" s="404"/>
      <c r="F126" s="125">
        <f>114000000-3150000</f>
        <v>110850000</v>
      </c>
      <c r="G126" s="356"/>
      <c r="H126" s="357"/>
      <c r="I126" s="358"/>
      <c r="J126" s="358"/>
      <c r="K126" s="359"/>
      <c r="L126" s="325"/>
    </row>
    <row r="127" spans="1:12" s="326" customFormat="1" ht="15" hidden="1">
      <c r="A127" s="408"/>
      <c r="B127" s="116" t="s">
        <v>93</v>
      </c>
      <c r="C127" s="409"/>
      <c r="D127" s="410"/>
      <c r="E127" s="405"/>
      <c r="F127" s="125">
        <f>2088000+3150000</f>
        <v>5238000</v>
      </c>
      <c r="G127" s="356"/>
      <c r="H127" s="357"/>
      <c r="I127" s="358"/>
      <c r="J127" s="358"/>
      <c r="K127" s="359"/>
      <c r="L127" s="325"/>
    </row>
    <row r="128" spans="1:12" s="326" customFormat="1" ht="30">
      <c r="A128" s="172" t="s">
        <v>701</v>
      </c>
      <c r="B128" s="117" t="s">
        <v>293</v>
      </c>
      <c r="C128" s="261"/>
      <c r="D128" s="262"/>
      <c r="E128" s="305" t="s">
        <v>75</v>
      </c>
      <c r="F128" s="125">
        <v>10000000</v>
      </c>
      <c r="G128" s="356"/>
      <c r="H128" s="357"/>
      <c r="I128" s="358"/>
      <c r="J128" s="358"/>
      <c r="K128" s="359"/>
      <c r="L128" s="325"/>
    </row>
    <row r="129" spans="1:12" s="326" customFormat="1" ht="45">
      <c r="A129" s="172" t="s">
        <v>702</v>
      </c>
      <c r="B129" s="226" t="s">
        <v>294</v>
      </c>
      <c r="C129" s="327"/>
      <c r="D129" s="316"/>
      <c r="E129" s="305" t="s">
        <v>75</v>
      </c>
      <c r="F129" s="125">
        <v>4500000</v>
      </c>
      <c r="G129" s="356"/>
      <c r="H129" s="357"/>
      <c r="I129" s="358"/>
      <c r="J129" s="358"/>
      <c r="K129" s="359"/>
      <c r="L129" s="325"/>
    </row>
    <row r="130" spans="1:12" s="326" customFormat="1" ht="60">
      <c r="A130" s="172" t="s">
        <v>703</v>
      </c>
      <c r="B130" s="117" t="s">
        <v>295</v>
      </c>
      <c r="C130" s="263"/>
      <c r="D130" s="97"/>
      <c r="E130" s="305" t="s">
        <v>75</v>
      </c>
      <c r="F130" s="125">
        <v>1500000</v>
      </c>
      <c r="G130" s="356"/>
      <c r="H130" s="357"/>
      <c r="I130" s="358"/>
      <c r="J130" s="358"/>
      <c r="K130" s="359"/>
      <c r="L130" s="325"/>
    </row>
    <row r="131" spans="1:12" s="326" customFormat="1" ht="30">
      <c r="A131" s="172" t="s">
        <v>704</v>
      </c>
      <c r="B131" s="226" t="s">
        <v>296</v>
      </c>
      <c r="C131" s="263"/>
      <c r="D131" s="97"/>
      <c r="E131" s="305" t="s">
        <v>75</v>
      </c>
      <c r="F131" s="125">
        <v>5000000</v>
      </c>
      <c r="G131" s="356"/>
      <c r="H131" s="357"/>
      <c r="I131" s="358"/>
      <c r="J131" s="358"/>
      <c r="K131" s="359"/>
      <c r="L131" s="325"/>
    </row>
    <row r="132" spans="1:12" s="326" customFormat="1" ht="45">
      <c r="A132" s="172" t="s">
        <v>705</v>
      </c>
      <c r="B132" s="117" t="s">
        <v>297</v>
      </c>
      <c r="C132" s="308"/>
      <c r="D132" s="336"/>
      <c r="E132" s="305" t="s">
        <v>75</v>
      </c>
      <c r="F132" s="125">
        <v>640000</v>
      </c>
      <c r="G132" s="356"/>
      <c r="H132" s="357"/>
      <c r="I132" s="358"/>
      <c r="J132" s="358"/>
      <c r="K132" s="359"/>
      <c r="L132" s="325"/>
    </row>
    <row r="133" spans="1:12" s="326" customFormat="1" ht="15">
      <c r="A133" s="393"/>
      <c r="B133" s="394"/>
      <c r="C133" s="394"/>
      <c r="D133" s="394"/>
      <c r="E133" s="394"/>
      <c r="F133" s="395"/>
      <c r="G133" s="356"/>
      <c r="H133" s="357"/>
      <c r="I133" s="358"/>
      <c r="J133" s="358"/>
      <c r="K133" s="359"/>
      <c r="L133" s="325"/>
    </row>
    <row r="134" spans="1:12" s="326" customFormat="1" ht="42.75">
      <c r="A134" s="80" t="s">
        <v>92</v>
      </c>
      <c r="B134" s="352" t="s">
        <v>879</v>
      </c>
      <c r="C134" s="76">
        <f>SUM(C135:C146)</f>
        <v>2</v>
      </c>
      <c r="D134" s="103"/>
      <c r="E134" s="104" t="s">
        <v>34</v>
      </c>
      <c r="F134" s="163">
        <v>523361598.81</v>
      </c>
      <c r="G134" s="356"/>
      <c r="H134" s="357"/>
      <c r="I134" s="358"/>
      <c r="J134" s="358"/>
      <c r="K134" s="359"/>
      <c r="L134" s="325"/>
    </row>
    <row r="135" spans="1:12" s="326" customFormat="1" ht="45">
      <c r="A135" s="84" t="s">
        <v>1</v>
      </c>
      <c r="B135" s="331" t="s">
        <v>182</v>
      </c>
      <c r="C135" s="159">
        <v>2</v>
      </c>
      <c r="D135" s="103"/>
      <c r="E135" s="305" t="s">
        <v>75</v>
      </c>
      <c r="F135" s="219">
        <f>100000000</f>
        <v>100000000</v>
      </c>
      <c r="G135" s="356"/>
      <c r="H135" s="357"/>
      <c r="I135" s="358"/>
      <c r="J135" s="358"/>
      <c r="K135" s="359"/>
      <c r="L135" s="325"/>
    </row>
    <row r="136" spans="1:12" s="326" customFormat="1" ht="45">
      <c r="A136" s="84" t="s">
        <v>212</v>
      </c>
      <c r="B136" s="331" t="s">
        <v>183</v>
      </c>
      <c r="C136" s="102"/>
      <c r="D136" s="103"/>
      <c r="E136" s="305" t="s">
        <v>75</v>
      </c>
      <c r="F136" s="219">
        <v>4659630</v>
      </c>
      <c r="G136" s="356"/>
      <c r="H136" s="357"/>
      <c r="I136" s="358"/>
      <c r="J136" s="358"/>
      <c r="K136" s="359"/>
      <c r="L136" s="325"/>
    </row>
    <row r="137" spans="1:12" s="326" customFormat="1" ht="60">
      <c r="A137" s="84" t="s">
        <v>682</v>
      </c>
      <c r="B137" s="220" t="s">
        <v>184</v>
      </c>
      <c r="C137" s="102"/>
      <c r="D137" s="103"/>
      <c r="E137" s="305" t="s">
        <v>75</v>
      </c>
      <c r="F137" s="219">
        <v>22446790</v>
      </c>
      <c r="G137" s="356"/>
      <c r="H137" s="357"/>
      <c r="I137" s="358"/>
      <c r="J137" s="358"/>
      <c r="K137" s="359"/>
      <c r="L137" s="325"/>
    </row>
    <row r="138" spans="1:12" s="326" customFormat="1" ht="60">
      <c r="A138" s="84" t="s">
        <v>651</v>
      </c>
      <c r="B138" s="331" t="s">
        <v>185</v>
      </c>
      <c r="C138" s="102"/>
      <c r="D138" s="103"/>
      <c r="E138" s="305" t="s">
        <v>75</v>
      </c>
      <c r="F138" s="219">
        <v>6215460</v>
      </c>
      <c r="G138" s="356"/>
      <c r="H138" s="357"/>
      <c r="I138" s="358"/>
      <c r="J138" s="358"/>
      <c r="K138" s="359"/>
      <c r="L138" s="325"/>
    </row>
    <row r="139" spans="1:12" s="326" customFormat="1" ht="45">
      <c r="A139" s="84" t="s">
        <v>652</v>
      </c>
      <c r="B139" s="331" t="s">
        <v>186</v>
      </c>
      <c r="C139" s="102"/>
      <c r="D139" s="103"/>
      <c r="E139" s="305" t="s">
        <v>75</v>
      </c>
      <c r="F139" s="219">
        <v>14918303.07</v>
      </c>
      <c r="G139" s="356"/>
      <c r="H139" s="357"/>
      <c r="I139" s="358"/>
      <c r="J139" s="358"/>
      <c r="K139" s="359"/>
      <c r="L139" s="325"/>
    </row>
    <row r="140" spans="1:12" s="326" customFormat="1" ht="45">
      <c r="A140" s="84" t="s">
        <v>653</v>
      </c>
      <c r="B140" s="221" t="s">
        <v>187</v>
      </c>
      <c r="C140" s="102"/>
      <c r="D140" s="103"/>
      <c r="E140" s="305" t="s">
        <v>75</v>
      </c>
      <c r="F140" s="219">
        <v>10216480</v>
      </c>
      <c r="G140" s="356"/>
      <c r="H140" s="357"/>
      <c r="I140" s="358"/>
      <c r="J140" s="358"/>
      <c r="K140" s="359"/>
      <c r="L140" s="325"/>
    </row>
    <row r="141" spans="1:12" s="326" customFormat="1" ht="45">
      <c r="A141" s="84" t="s">
        <v>654</v>
      </c>
      <c r="B141" s="126" t="s">
        <v>188</v>
      </c>
      <c r="C141" s="102"/>
      <c r="D141" s="103"/>
      <c r="E141" s="305" t="s">
        <v>75</v>
      </c>
      <c r="F141" s="219">
        <v>13898254.8</v>
      </c>
      <c r="G141" s="356"/>
      <c r="H141" s="357"/>
      <c r="I141" s="358"/>
      <c r="J141" s="358"/>
      <c r="K141" s="359"/>
      <c r="L141" s="325"/>
    </row>
    <row r="142" spans="1:12" s="326" customFormat="1" ht="60">
      <c r="A142" s="84" t="s">
        <v>655</v>
      </c>
      <c r="B142" s="126" t="s">
        <v>189</v>
      </c>
      <c r="C142" s="102"/>
      <c r="D142" s="103"/>
      <c r="E142" s="305" t="s">
        <v>75</v>
      </c>
      <c r="F142" s="219">
        <v>11635460</v>
      </c>
      <c r="G142" s="356"/>
      <c r="H142" s="357"/>
      <c r="I142" s="358"/>
      <c r="J142" s="358"/>
      <c r="K142" s="359"/>
      <c r="L142" s="325"/>
    </row>
    <row r="143" spans="1:12" s="326" customFormat="1" ht="60">
      <c r="A143" s="84" t="s">
        <v>706</v>
      </c>
      <c r="B143" s="126" t="s">
        <v>190</v>
      </c>
      <c r="C143" s="102"/>
      <c r="D143" s="103"/>
      <c r="E143" s="305" t="s">
        <v>75</v>
      </c>
      <c r="F143" s="219">
        <v>10937530</v>
      </c>
      <c r="G143" s="356"/>
      <c r="H143" s="357"/>
      <c r="I143" s="358"/>
      <c r="J143" s="358"/>
      <c r="K143" s="359"/>
      <c r="L143" s="325"/>
    </row>
    <row r="144" spans="1:12" s="326" customFormat="1" ht="60">
      <c r="A144" s="84" t="s">
        <v>707</v>
      </c>
      <c r="B144" s="126" t="s">
        <v>191</v>
      </c>
      <c r="C144" s="102"/>
      <c r="D144" s="103"/>
      <c r="E144" s="305" t="s">
        <v>75</v>
      </c>
      <c r="F144" s="219">
        <v>11529710</v>
      </c>
      <c r="G144" s="356"/>
      <c r="H144" s="357"/>
      <c r="I144" s="358"/>
      <c r="J144" s="358"/>
      <c r="K144" s="359"/>
      <c r="L144" s="325"/>
    </row>
    <row r="145" spans="1:12" s="326" customFormat="1" ht="60">
      <c r="A145" s="84" t="s">
        <v>708</v>
      </c>
      <c r="B145" s="126" t="s">
        <v>192</v>
      </c>
      <c r="C145" s="102"/>
      <c r="D145" s="103"/>
      <c r="E145" s="305" t="s">
        <v>75</v>
      </c>
      <c r="F145" s="219">
        <v>11880300</v>
      </c>
      <c r="G145" s="356"/>
      <c r="H145" s="357"/>
      <c r="I145" s="358"/>
      <c r="J145" s="358"/>
      <c r="K145" s="359"/>
      <c r="L145" s="325"/>
    </row>
    <row r="146" spans="1:12" s="326" customFormat="1" ht="15.75" hidden="1">
      <c r="A146" s="84" t="s">
        <v>342</v>
      </c>
      <c r="B146" s="335" t="s">
        <v>86</v>
      </c>
      <c r="C146" s="102"/>
      <c r="D146" s="103"/>
      <c r="E146" s="305" t="s">
        <v>75</v>
      </c>
      <c r="F146" s="219">
        <v>26000000</v>
      </c>
      <c r="G146" s="356"/>
      <c r="H146" s="357"/>
      <c r="I146" s="358"/>
      <c r="J146" s="358"/>
      <c r="K146" s="359"/>
      <c r="L146" s="325"/>
    </row>
    <row r="147" spans="1:12" s="326" customFormat="1" ht="42.75" hidden="1">
      <c r="A147" s="80" t="s">
        <v>92</v>
      </c>
      <c r="B147" s="101" t="s">
        <v>175</v>
      </c>
      <c r="C147" s="332">
        <f>SUM(C148:C150)</f>
        <v>16.799999999999997</v>
      </c>
      <c r="D147" s="332">
        <f>SUM(D149:D162)</f>
        <v>0</v>
      </c>
      <c r="E147" s="81" t="s">
        <v>75</v>
      </c>
      <c r="F147" s="164">
        <f>SUM(F148:F150)</f>
        <v>179023680.94</v>
      </c>
      <c r="G147" s="356"/>
      <c r="H147" s="357"/>
      <c r="I147" s="358"/>
      <c r="J147" s="358"/>
      <c r="K147" s="359"/>
      <c r="L147" s="325"/>
    </row>
    <row r="148" spans="1:12" s="326" customFormat="1" ht="45">
      <c r="A148" s="84" t="s">
        <v>709</v>
      </c>
      <c r="B148" s="222" t="s">
        <v>162</v>
      </c>
      <c r="C148" s="304">
        <v>4.8</v>
      </c>
      <c r="D148" s="305"/>
      <c r="E148" s="305" t="s">
        <v>75</v>
      </c>
      <c r="F148" s="125">
        <v>47023680.94</v>
      </c>
      <c r="G148" s="356"/>
      <c r="H148" s="357"/>
      <c r="I148" s="358"/>
      <c r="J148" s="358"/>
      <c r="K148" s="359"/>
      <c r="L148" s="325"/>
    </row>
    <row r="149" spans="1:12" s="326" customFormat="1" ht="45">
      <c r="A149" s="84" t="s">
        <v>710</v>
      </c>
      <c r="B149" s="222" t="s">
        <v>163</v>
      </c>
      <c r="C149" s="107">
        <v>5.26</v>
      </c>
      <c r="D149" s="305"/>
      <c r="E149" s="305" t="s">
        <v>75</v>
      </c>
      <c r="F149" s="125">
        <v>60000000</v>
      </c>
      <c r="G149" s="356"/>
      <c r="H149" s="357"/>
      <c r="I149" s="358"/>
      <c r="J149" s="358"/>
      <c r="K149" s="359"/>
      <c r="L149" s="325"/>
    </row>
    <row r="150" spans="1:12" s="326" customFormat="1" ht="60">
      <c r="A150" s="84" t="s">
        <v>711</v>
      </c>
      <c r="B150" s="331" t="s">
        <v>164</v>
      </c>
      <c r="C150" s="107">
        <v>6.74</v>
      </c>
      <c r="D150" s="305"/>
      <c r="E150" s="305" t="s">
        <v>75</v>
      </c>
      <c r="F150" s="125">
        <v>72000000</v>
      </c>
      <c r="G150" s="356"/>
      <c r="H150" s="357"/>
      <c r="I150" s="358"/>
      <c r="J150" s="358"/>
      <c r="K150" s="359"/>
      <c r="L150" s="325"/>
    </row>
    <row r="151" spans="1:12" s="326" customFormat="1" ht="15" hidden="1">
      <c r="A151" s="481" t="s">
        <v>246</v>
      </c>
      <c r="B151" s="412" t="s">
        <v>174</v>
      </c>
      <c r="C151" s="415">
        <f>SUM(C154:C162)</f>
        <v>90.251</v>
      </c>
      <c r="D151" s="403"/>
      <c r="E151" s="81" t="s">
        <v>34</v>
      </c>
      <c r="F151" s="163">
        <f>SUM(F152:F153)</f>
        <v>1000000000</v>
      </c>
      <c r="G151" s="356"/>
      <c r="H151" s="357"/>
      <c r="I151" s="358"/>
      <c r="J151" s="358"/>
      <c r="K151" s="359"/>
      <c r="L151" s="325"/>
    </row>
    <row r="152" spans="1:12" s="326" customFormat="1" ht="15" hidden="1">
      <c r="A152" s="482"/>
      <c r="B152" s="413"/>
      <c r="C152" s="416"/>
      <c r="D152" s="404"/>
      <c r="E152" s="81" t="s">
        <v>74</v>
      </c>
      <c r="F152" s="163">
        <f>SUM(F159,F161,F162)</f>
        <v>500000000</v>
      </c>
      <c r="G152" s="356"/>
      <c r="H152" s="357"/>
      <c r="I152" s="358"/>
      <c r="J152" s="358"/>
      <c r="K152" s="359"/>
      <c r="L152" s="325"/>
    </row>
    <row r="153" spans="1:12" s="326" customFormat="1" ht="15" hidden="1">
      <c r="A153" s="483"/>
      <c r="B153" s="414"/>
      <c r="C153" s="417"/>
      <c r="D153" s="405"/>
      <c r="E153" s="81" t="s">
        <v>75</v>
      </c>
      <c r="F153" s="163">
        <f>SUM(F154,F155,F156,F157,F160)</f>
        <v>500000000</v>
      </c>
      <c r="G153" s="356"/>
      <c r="H153" s="357"/>
      <c r="I153" s="358"/>
      <c r="J153" s="358"/>
      <c r="K153" s="359"/>
      <c r="L153" s="325"/>
    </row>
    <row r="154" spans="1:12" s="326" customFormat="1" ht="45">
      <c r="A154" s="84" t="s">
        <v>712</v>
      </c>
      <c r="B154" s="223" t="s">
        <v>165</v>
      </c>
      <c r="C154" s="109">
        <v>9.05</v>
      </c>
      <c r="D154" s="305"/>
      <c r="E154" s="305" t="s">
        <v>75</v>
      </c>
      <c r="F154" s="125">
        <v>154980000</v>
      </c>
      <c r="G154" s="356"/>
      <c r="H154" s="357"/>
      <c r="I154" s="358"/>
      <c r="J154" s="358"/>
      <c r="K154" s="359"/>
      <c r="L154" s="325"/>
    </row>
    <row r="155" spans="1:12" s="326" customFormat="1" ht="46.5" customHeight="1">
      <c r="A155" s="84" t="s">
        <v>713</v>
      </c>
      <c r="B155" s="223" t="s">
        <v>166</v>
      </c>
      <c r="C155" s="107">
        <v>18.37</v>
      </c>
      <c r="D155" s="305"/>
      <c r="E155" s="305" t="s">
        <v>75</v>
      </c>
      <c r="F155" s="125">
        <v>206052000</v>
      </c>
      <c r="G155" s="356"/>
      <c r="H155" s="357"/>
      <c r="I155" s="358"/>
      <c r="J155" s="358"/>
      <c r="K155" s="359"/>
      <c r="L155" s="325"/>
    </row>
    <row r="156" spans="1:12" s="326" customFormat="1" ht="45">
      <c r="A156" s="84" t="s">
        <v>714</v>
      </c>
      <c r="B156" s="223" t="s">
        <v>167</v>
      </c>
      <c r="C156" s="107">
        <v>8.57</v>
      </c>
      <c r="D156" s="305"/>
      <c r="E156" s="305" t="s">
        <v>75</v>
      </c>
      <c r="F156" s="125">
        <v>109279530</v>
      </c>
      <c r="G156" s="356"/>
      <c r="H156" s="357"/>
      <c r="I156" s="358"/>
      <c r="J156" s="358"/>
      <c r="K156" s="359"/>
      <c r="L156" s="325"/>
    </row>
    <row r="157" spans="1:12" s="326" customFormat="1" ht="45">
      <c r="A157" s="84" t="s">
        <v>715</v>
      </c>
      <c r="B157" s="223" t="s">
        <v>168</v>
      </c>
      <c r="C157" s="107">
        <v>1.731</v>
      </c>
      <c r="D157" s="305"/>
      <c r="E157" s="305" t="s">
        <v>75</v>
      </c>
      <c r="F157" s="125">
        <v>25531760</v>
      </c>
      <c r="G157" s="356"/>
      <c r="H157" s="357"/>
      <c r="I157" s="358"/>
      <c r="J157" s="358"/>
      <c r="K157" s="359"/>
      <c r="L157" s="325"/>
    </row>
    <row r="158" spans="1:12" s="326" customFormat="1" ht="15">
      <c r="A158" s="418" t="s">
        <v>716</v>
      </c>
      <c r="B158" s="421" t="s">
        <v>169</v>
      </c>
      <c r="C158" s="400">
        <v>8.2</v>
      </c>
      <c r="D158" s="403"/>
      <c r="E158" s="305" t="s">
        <v>34</v>
      </c>
      <c r="F158" s="125">
        <f>F159+F160</f>
        <v>68880000</v>
      </c>
      <c r="G158" s="356"/>
      <c r="H158" s="357"/>
      <c r="I158" s="358"/>
      <c r="J158" s="358"/>
      <c r="K158" s="359"/>
      <c r="L158" s="325"/>
    </row>
    <row r="159" spans="1:12" s="326" customFormat="1" ht="15">
      <c r="A159" s="419"/>
      <c r="B159" s="422"/>
      <c r="C159" s="401"/>
      <c r="D159" s="404"/>
      <c r="E159" s="305" t="s">
        <v>74</v>
      </c>
      <c r="F159" s="224">
        <v>64723290</v>
      </c>
      <c r="G159" s="356"/>
      <c r="H159" s="357"/>
      <c r="I159" s="358"/>
      <c r="J159" s="358"/>
      <c r="K159" s="359"/>
      <c r="L159" s="325"/>
    </row>
    <row r="160" spans="1:12" s="326" customFormat="1" ht="15">
      <c r="A160" s="420"/>
      <c r="B160" s="423"/>
      <c r="C160" s="402"/>
      <c r="D160" s="405"/>
      <c r="E160" s="305" t="s">
        <v>75</v>
      </c>
      <c r="F160" s="125">
        <v>4156710</v>
      </c>
      <c r="G160" s="356"/>
      <c r="H160" s="357"/>
      <c r="I160" s="358"/>
      <c r="J160" s="358"/>
      <c r="K160" s="359"/>
      <c r="L160" s="325"/>
    </row>
    <row r="161" spans="1:12" s="326" customFormat="1" ht="45">
      <c r="A161" s="84" t="s">
        <v>717</v>
      </c>
      <c r="B161" s="347" t="s">
        <v>170</v>
      </c>
      <c r="C161" s="107">
        <v>22.63</v>
      </c>
      <c r="D161" s="305"/>
      <c r="E161" s="305" t="s">
        <v>74</v>
      </c>
      <c r="F161" s="224">
        <v>238700000</v>
      </c>
      <c r="G161" s="356"/>
      <c r="H161" s="357"/>
      <c r="I161" s="358"/>
      <c r="J161" s="358"/>
      <c r="K161" s="359"/>
      <c r="L161" s="325"/>
    </row>
    <row r="162" spans="1:12" s="326" customFormat="1" ht="45">
      <c r="A162" s="84" t="s">
        <v>718</v>
      </c>
      <c r="B162" s="223" t="s">
        <v>171</v>
      </c>
      <c r="C162" s="107">
        <v>21.7</v>
      </c>
      <c r="D162" s="305"/>
      <c r="E162" s="305" t="s">
        <v>74</v>
      </c>
      <c r="F162" s="224">
        <v>196576710</v>
      </c>
      <c r="G162" s="356"/>
      <c r="H162" s="357"/>
      <c r="I162" s="358"/>
      <c r="J162" s="358"/>
      <c r="K162" s="359"/>
      <c r="L162" s="325"/>
    </row>
    <row r="163" spans="1:12" s="326" customFormat="1" ht="15">
      <c r="A163" s="393"/>
      <c r="B163" s="394"/>
      <c r="C163" s="394"/>
      <c r="D163" s="394"/>
      <c r="E163" s="394"/>
      <c r="F163" s="395"/>
      <c r="G163" s="356"/>
      <c r="H163" s="357"/>
      <c r="I163" s="358"/>
      <c r="J163" s="358"/>
      <c r="K163" s="359"/>
      <c r="L163" s="325"/>
    </row>
    <row r="164" spans="1:12" s="326" customFormat="1" ht="71.25">
      <c r="A164" s="396" t="s">
        <v>2</v>
      </c>
      <c r="B164" s="352" t="s">
        <v>880</v>
      </c>
      <c r="C164" s="397"/>
      <c r="D164" s="398"/>
      <c r="E164" s="399" t="s">
        <v>75</v>
      </c>
      <c r="F164" s="411">
        <v>2677692652.09</v>
      </c>
      <c r="G164" s="356"/>
      <c r="H164" s="357"/>
      <c r="I164" s="358"/>
      <c r="J164" s="358"/>
      <c r="K164" s="359"/>
      <c r="L164" s="325"/>
    </row>
    <row r="165" spans="1:12" s="326" customFormat="1" ht="15" hidden="1">
      <c r="A165" s="396"/>
      <c r="B165" s="335" t="s">
        <v>23</v>
      </c>
      <c r="C165" s="397"/>
      <c r="D165" s="398"/>
      <c r="E165" s="399"/>
      <c r="F165" s="411"/>
      <c r="G165" s="356"/>
      <c r="H165" s="357"/>
      <c r="I165" s="358"/>
      <c r="J165" s="358"/>
      <c r="K165" s="359"/>
      <c r="L165" s="325"/>
    </row>
    <row r="166" spans="1:12" s="326" customFormat="1" ht="15" hidden="1">
      <c r="A166" s="396"/>
      <c r="B166" s="335" t="s">
        <v>131</v>
      </c>
      <c r="C166" s="397"/>
      <c r="D166" s="398"/>
      <c r="E166" s="399"/>
      <c r="F166" s="411"/>
      <c r="G166" s="356"/>
      <c r="H166" s="357"/>
      <c r="I166" s="358"/>
      <c r="J166" s="358"/>
      <c r="K166" s="359"/>
      <c r="L166" s="325"/>
    </row>
    <row r="167" spans="1:12" s="326" customFormat="1" ht="15" hidden="1">
      <c r="A167" s="396"/>
      <c r="B167" s="335" t="s">
        <v>132</v>
      </c>
      <c r="C167" s="397"/>
      <c r="D167" s="398"/>
      <c r="E167" s="399"/>
      <c r="F167" s="411"/>
      <c r="G167" s="356"/>
      <c r="H167" s="357"/>
      <c r="I167" s="358"/>
      <c r="J167" s="358"/>
      <c r="K167" s="359"/>
      <c r="L167" s="325"/>
    </row>
    <row r="168" spans="1:12" s="326" customFormat="1" ht="30" hidden="1">
      <c r="A168" s="396"/>
      <c r="B168" s="97" t="s">
        <v>133</v>
      </c>
      <c r="C168" s="397"/>
      <c r="D168" s="398"/>
      <c r="E168" s="399"/>
      <c r="F168" s="411"/>
      <c r="G168" s="356"/>
      <c r="H168" s="357"/>
      <c r="I168" s="358"/>
      <c r="J168" s="358"/>
      <c r="K168" s="359"/>
      <c r="L168" s="325"/>
    </row>
    <row r="169" spans="1:12" s="326" customFormat="1" ht="30" hidden="1">
      <c r="A169" s="396"/>
      <c r="B169" s="97" t="s">
        <v>134</v>
      </c>
      <c r="C169" s="397"/>
      <c r="D169" s="398"/>
      <c r="E169" s="399"/>
      <c r="F169" s="411"/>
      <c r="G169" s="356"/>
      <c r="H169" s="357"/>
      <c r="I169" s="358"/>
      <c r="J169" s="358"/>
      <c r="K169" s="359"/>
      <c r="L169" s="325"/>
    </row>
    <row r="170" spans="1:12" s="326" customFormat="1" ht="15" hidden="1">
      <c r="A170" s="396"/>
      <c r="B170" s="97" t="s">
        <v>135</v>
      </c>
      <c r="C170" s="397"/>
      <c r="D170" s="398"/>
      <c r="E170" s="399"/>
      <c r="F170" s="411"/>
      <c r="G170" s="356"/>
      <c r="H170" s="357"/>
      <c r="I170" s="358"/>
      <c r="J170" s="358"/>
      <c r="K170" s="359"/>
      <c r="L170" s="325"/>
    </row>
    <row r="171" spans="1:12" s="326" customFormat="1" ht="15">
      <c r="A171" s="384"/>
      <c r="B171" s="384"/>
      <c r="C171" s="384"/>
      <c r="D171" s="384"/>
      <c r="E171" s="384"/>
      <c r="F171" s="384"/>
      <c r="G171" s="356"/>
      <c r="H171" s="357"/>
      <c r="I171" s="358"/>
      <c r="J171" s="358"/>
      <c r="K171" s="359"/>
      <c r="L171" s="325"/>
    </row>
    <row r="172" spans="1:12" s="326" customFormat="1" ht="15">
      <c r="A172" s="529" t="s">
        <v>719</v>
      </c>
      <c r="B172" s="530"/>
      <c r="C172" s="530"/>
      <c r="D172" s="530"/>
      <c r="E172" s="530"/>
      <c r="F172" s="531"/>
      <c r="G172" s="356"/>
      <c r="H172" s="357"/>
      <c r="I172" s="358"/>
      <c r="J172" s="358"/>
      <c r="K172" s="359"/>
      <c r="L172" s="325"/>
    </row>
    <row r="173" spans="1:12" s="326" customFormat="1" ht="15">
      <c r="A173" s="448" t="s">
        <v>2</v>
      </c>
      <c r="B173" s="520" t="s">
        <v>5</v>
      </c>
      <c r="C173" s="523"/>
      <c r="D173" s="410"/>
      <c r="E173" s="388" t="s">
        <v>34</v>
      </c>
      <c r="F173" s="381">
        <f>M174+127315935</f>
        <v>483705815.32</v>
      </c>
      <c r="G173" s="356"/>
      <c r="H173" s="357"/>
      <c r="I173" s="358"/>
      <c r="J173" s="358"/>
      <c r="K173" s="359"/>
      <c r="L173" s="325"/>
    </row>
    <row r="174" spans="1:13" s="326" customFormat="1" ht="15">
      <c r="A174" s="448"/>
      <c r="B174" s="521"/>
      <c r="C174" s="523"/>
      <c r="D174" s="410"/>
      <c r="E174" s="389"/>
      <c r="F174" s="382"/>
      <c r="G174" s="356"/>
      <c r="H174" s="357"/>
      <c r="I174" s="358"/>
      <c r="J174" s="358"/>
      <c r="K174" s="359"/>
      <c r="L174" s="325"/>
      <c r="M174" s="326">
        <f>F176+F179+F182+F185+F188+F191+F194+F197+F200+F204+F208</f>
        <v>356389880.32</v>
      </c>
    </row>
    <row r="175" spans="1:12" s="326" customFormat="1" ht="15">
      <c r="A175" s="441"/>
      <c r="B175" s="522"/>
      <c r="C175" s="524"/>
      <c r="D175" s="525"/>
      <c r="E175" s="390"/>
      <c r="F175" s="383"/>
      <c r="G175" s="356"/>
      <c r="H175" s="357"/>
      <c r="I175" s="358"/>
      <c r="J175" s="358"/>
      <c r="K175" s="359"/>
      <c r="L175" s="325"/>
    </row>
    <row r="176" spans="1:12" s="326" customFormat="1" ht="15">
      <c r="A176" s="391" t="s">
        <v>3</v>
      </c>
      <c r="B176" s="476" t="s">
        <v>395</v>
      </c>
      <c r="C176" s="409"/>
      <c r="D176" s="410"/>
      <c r="E176" s="81" t="s">
        <v>34</v>
      </c>
      <c r="F176" s="160">
        <f>SUM(F177:F178)</f>
        <v>45739678.04</v>
      </c>
      <c r="G176" s="356"/>
      <c r="H176" s="357"/>
      <c r="I176" s="358"/>
      <c r="J176" s="358"/>
      <c r="K176" s="359"/>
      <c r="L176" s="325"/>
    </row>
    <row r="177" spans="1:12" s="326" customFormat="1" ht="15">
      <c r="A177" s="441"/>
      <c r="B177" s="477"/>
      <c r="C177" s="524"/>
      <c r="D177" s="525"/>
      <c r="E177" s="305" t="s">
        <v>75</v>
      </c>
      <c r="F177" s="231">
        <v>43452693.04</v>
      </c>
      <c r="G177" s="356"/>
      <c r="H177" s="357"/>
      <c r="I177" s="358"/>
      <c r="J177" s="358"/>
      <c r="K177" s="359"/>
      <c r="L177" s="325"/>
    </row>
    <row r="178" spans="1:12" s="326" customFormat="1" ht="15">
      <c r="A178" s="441"/>
      <c r="B178" s="478"/>
      <c r="C178" s="524"/>
      <c r="D178" s="525"/>
      <c r="E178" s="305" t="s">
        <v>18</v>
      </c>
      <c r="F178" s="166">
        <v>2286985</v>
      </c>
      <c r="G178" s="356"/>
      <c r="H178" s="357"/>
      <c r="I178" s="358"/>
      <c r="J178" s="358"/>
      <c r="K178" s="359"/>
      <c r="L178" s="325"/>
    </row>
    <row r="179" spans="1:12" s="326" customFormat="1" ht="15">
      <c r="A179" s="391" t="s">
        <v>172</v>
      </c>
      <c r="B179" s="476" t="s">
        <v>396</v>
      </c>
      <c r="C179" s="409"/>
      <c r="D179" s="410"/>
      <c r="E179" s="81" t="s">
        <v>34</v>
      </c>
      <c r="F179" s="160">
        <f>SUM(F180:F181)</f>
        <v>13846301.93</v>
      </c>
      <c r="G179" s="356"/>
      <c r="H179" s="357"/>
      <c r="I179" s="358"/>
      <c r="J179" s="358"/>
      <c r="K179" s="359"/>
      <c r="L179" s="325"/>
    </row>
    <row r="180" spans="1:12" s="326" customFormat="1" ht="15">
      <c r="A180" s="441"/>
      <c r="B180" s="477"/>
      <c r="C180" s="409"/>
      <c r="D180" s="410"/>
      <c r="E180" s="305" t="s">
        <v>75</v>
      </c>
      <c r="F180" s="231">
        <v>13153986.83</v>
      </c>
      <c r="G180" s="356"/>
      <c r="H180" s="357"/>
      <c r="I180" s="358"/>
      <c r="J180" s="358"/>
      <c r="K180" s="359"/>
      <c r="L180" s="325"/>
    </row>
    <row r="181" spans="1:12" s="326" customFormat="1" ht="15">
      <c r="A181" s="441"/>
      <c r="B181" s="478"/>
      <c r="C181" s="409"/>
      <c r="D181" s="410"/>
      <c r="E181" s="305" t="s">
        <v>18</v>
      </c>
      <c r="F181" s="161">
        <v>692315.0999999996</v>
      </c>
      <c r="G181" s="356"/>
      <c r="H181" s="357"/>
      <c r="I181" s="358"/>
      <c r="J181" s="358"/>
      <c r="K181" s="359"/>
      <c r="L181" s="325"/>
    </row>
    <row r="182" spans="1:12" s="326" customFormat="1" ht="15">
      <c r="A182" s="391" t="s">
        <v>173</v>
      </c>
      <c r="B182" s="517" t="s">
        <v>397</v>
      </c>
      <c r="C182" s="409"/>
      <c r="D182" s="410"/>
      <c r="E182" s="81" t="s">
        <v>34</v>
      </c>
      <c r="F182" s="160">
        <f>SUM(F183:F184)</f>
        <v>1360149.5</v>
      </c>
      <c r="G182" s="356"/>
      <c r="H182" s="357"/>
      <c r="I182" s="358"/>
      <c r="J182" s="358"/>
      <c r="K182" s="359"/>
      <c r="L182" s="325"/>
    </row>
    <row r="183" spans="1:12" s="326" customFormat="1" ht="15">
      <c r="A183" s="441"/>
      <c r="B183" s="518"/>
      <c r="C183" s="409"/>
      <c r="D183" s="410"/>
      <c r="E183" s="305" t="s">
        <v>75</v>
      </c>
      <c r="F183" s="232">
        <v>1292142</v>
      </c>
      <c r="G183" s="356"/>
      <c r="H183" s="357"/>
      <c r="I183" s="358"/>
      <c r="J183" s="358"/>
      <c r="K183" s="359"/>
      <c r="L183" s="325"/>
    </row>
    <row r="184" spans="1:12" s="326" customFormat="1" ht="15">
      <c r="A184" s="441"/>
      <c r="B184" s="519"/>
      <c r="C184" s="409"/>
      <c r="D184" s="410"/>
      <c r="E184" s="305" t="s">
        <v>18</v>
      </c>
      <c r="F184" s="232">
        <v>68007.5</v>
      </c>
      <c r="G184" s="356"/>
      <c r="H184" s="357"/>
      <c r="I184" s="358"/>
      <c r="J184" s="358"/>
      <c r="K184" s="359"/>
      <c r="L184" s="325"/>
    </row>
    <row r="185" spans="1:12" s="326" customFormat="1" ht="15">
      <c r="A185" s="391" t="s">
        <v>79</v>
      </c>
      <c r="B185" s="514" t="s">
        <v>398</v>
      </c>
      <c r="C185" s="409"/>
      <c r="D185" s="410"/>
      <c r="E185" s="81" t="s">
        <v>34</v>
      </c>
      <c r="F185" s="235">
        <f>SUM(F186:F187)</f>
        <v>55363837.44</v>
      </c>
      <c r="G185" s="356"/>
      <c r="H185" s="357"/>
      <c r="I185" s="358"/>
      <c r="J185" s="358"/>
      <c r="K185" s="359"/>
      <c r="L185" s="325"/>
    </row>
    <row r="186" spans="1:12" s="326" customFormat="1" ht="15">
      <c r="A186" s="441"/>
      <c r="B186" s="515"/>
      <c r="C186" s="409"/>
      <c r="D186" s="410"/>
      <c r="E186" s="305" t="s">
        <v>75</v>
      </c>
      <c r="F186" s="237">
        <v>52595645.44</v>
      </c>
      <c r="G186" s="356"/>
      <c r="H186" s="357"/>
      <c r="I186" s="358"/>
      <c r="J186" s="358"/>
      <c r="K186" s="359"/>
      <c r="L186" s="325"/>
    </row>
    <row r="187" spans="1:12" s="326" customFormat="1" ht="15">
      <c r="A187" s="441"/>
      <c r="B187" s="516"/>
      <c r="C187" s="409"/>
      <c r="D187" s="410"/>
      <c r="E187" s="305" t="s">
        <v>18</v>
      </c>
      <c r="F187" s="238">
        <v>2768192</v>
      </c>
      <c r="G187" s="356"/>
      <c r="H187" s="357"/>
      <c r="I187" s="358"/>
      <c r="J187" s="358"/>
      <c r="K187" s="359"/>
      <c r="L187" s="325"/>
    </row>
    <row r="188" spans="1:12" s="326" customFormat="1" ht="15">
      <c r="A188" s="391" t="s">
        <v>338</v>
      </c>
      <c r="B188" s="511" t="s">
        <v>400</v>
      </c>
      <c r="C188" s="409"/>
      <c r="D188" s="410"/>
      <c r="E188" s="81" t="s">
        <v>34</v>
      </c>
      <c r="F188" s="235">
        <f>SUM(F189:F190)</f>
        <v>9757824.35</v>
      </c>
      <c r="G188" s="356"/>
      <c r="H188" s="357"/>
      <c r="I188" s="358"/>
      <c r="J188" s="358"/>
      <c r="K188" s="359"/>
      <c r="L188" s="325"/>
    </row>
    <row r="189" spans="1:12" s="326" customFormat="1" ht="15">
      <c r="A189" s="441"/>
      <c r="B189" s="512"/>
      <c r="C189" s="409"/>
      <c r="D189" s="410"/>
      <c r="E189" s="305" t="s">
        <v>75</v>
      </c>
      <c r="F189" s="231">
        <v>9269933.13</v>
      </c>
      <c r="G189" s="356"/>
      <c r="H189" s="357"/>
      <c r="I189" s="358"/>
      <c r="J189" s="358"/>
      <c r="K189" s="359"/>
      <c r="L189" s="325"/>
    </row>
    <row r="190" spans="1:12" s="326" customFormat="1" ht="15">
      <c r="A190" s="441"/>
      <c r="B190" s="513"/>
      <c r="C190" s="409"/>
      <c r="D190" s="410"/>
      <c r="E190" s="305" t="s">
        <v>18</v>
      </c>
      <c r="F190" s="238">
        <v>487891.2199999988</v>
      </c>
      <c r="G190" s="356"/>
      <c r="H190" s="357"/>
      <c r="I190" s="358"/>
      <c r="J190" s="358"/>
      <c r="K190" s="359"/>
      <c r="L190" s="325"/>
    </row>
    <row r="191" spans="1:12" s="326" customFormat="1" ht="15">
      <c r="A191" s="391" t="s">
        <v>15</v>
      </c>
      <c r="B191" s="511" t="s">
        <v>399</v>
      </c>
      <c r="C191" s="409"/>
      <c r="D191" s="410"/>
      <c r="E191" s="81" t="s">
        <v>34</v>
      </c>
      <c r="F191" s="235">
        <f>SUM(F192:F193)</f>
        <v>59261594.46</v>
      </c>
      <c r="G191" s="356"/>
      <c r="H191" s="357"/>
      <c r="I191" s="358"/>
      <c r="J191" s="358"/>
      <c r="K191" s="359"/>
      <c r="L191" s="325"/>
    </row>
    <row r="192" spans="1:12" s="326" customFormat="1" ht="15">
      <c r="A192" s="441"/>
      <c r="B192" s="512"/>
      <c r="C192" s="409"/>
      <c r="D192" s="410"/>
      <c r="E192" s="305" t="s">
        <v>75</v>
      </c>
      <c r="F192" s="231">
        <v>56298514.73</v>
      </c>
      <c r="G192" s="356"/>
      <c r="H192" s="357"/>
      <c r="I192" s="358"/>
      <c r="J192" s="358"/>
      <c r="K192" s="359"/>
      <c r="L192" s="325"/>
    </row>
    <row r="193" spans="1:12" s="326" customFormat="1" ht="15">
      <c r="A193" s="441"/>
      <c r="B193" s="513"/>
      <c r="C193" s="409"/>
      <c r="D193" s="410"/>
      <c r="E193" s="305" t="s">
        <v>18</v>
      </c>
      <c r="F193" s="238">
        <v>2963079.730000004</v>
      </c>
      <c r="G193" s="356"/>
      <c r="H193" s="357"/>
      <c r="I193" s="358"/>
      <c r="J193" s="358"/>
      <c r="K193" s="359"/>
      <c r="L193" s="325"/>
    </row>
    <row r="194" spans="1:12" s="326" customFormat="1" ht="15">
      <c r="A194" s="391" t="s">
        <v>16</v>
      </c>
      <c r="B194" s="511" t="s">
        <v>401</v>
      </c>
      <c r="C194" s="409"/>
      <c r="D194" s="410"/>
      <c r="E194" s="81" t="s">
        <v>34</v>
      </c>
      <c r="F194" s="235">
        <f>SUM(F195:F196)</f>
        <v>2506654.4</v>
      </c>
      <c r="G194" s="356"/>
      <c r="H194" s="357"/>
      <c r="I194" s="358"/>
      <c r="J194" s="358"/>
      <c r="K194" s="359"/>
      <c r="L194" s="325"/>
    </row>
    <row r="195" spans="1:12" s="326" customFormat="1" ht="15">
      <c r="A195" s="441"/>
      <c r="B195" s="512"/>
      <c r="C195" s="409"/>
      <c r="D195" s="410"/>
      <c r="E195" s="305" t="s">
        <v>75</v>
      </c>
      <c r="F195" s="231">
        <v>2381321.68</v>
      </c>
      <c r="G195" s="356"/>
      <c r="H195" s="357"/>
      <c r="I195" s="358"/>
      <c r="J195" s="358"/>
      <c r="K195" s="359"/>
      <c r="L195" s="325"/>
    </row>
    <row r="196" spans="1:12" s="326" customFormat="1" ht="15">
      <c r="A196" s="441"/>
      <c r="B196" s="513"/>
      <c r="C196" s="409"/>
      <c r="D196" s="410"/>
      <c r="E196" s="305" t="s">
        <v>18</v>
      </c>
      <c r="F196" s="238">
        <v>125332.71999999974</v>
      </c>
      <c r="G196" s="356"/>
      <c r="H196" s="357"/>
      <c r="I196" s="358"/>
      <c r="J196" s="358"/>
      <c r="K196" s="359"/>
      <c r="L196" s="325"/>
    </row>
    <row r="197" spans="1:12" s="326" customFormat="1" ht="15">
      <c r="A197" s="391" t="s">
        <v>88</v>
      </c>
      <c r="B197" s="511" t="s">
        <v>402</v>
      </c>
      <c r="C197" s="409"/>
      <c r="D197" s="410"/>
      <c r="E197" s="81" t="s">
        <v>34</v>
      </c>
      <c r="F197" s="235">
        <f>SUM(F198:F199)</f>
        <v>43850672.2</v>
      </c>
      <c r="G197" s="356"/>
      <c r="H197" s="357"/>
      <c r="I197" s="358"/>
      <c r="J197" s="358"/>
      <c r="K197" s="359"/>
      <c r="L197" s="325"/>
    </row>
    <row r="198" spans="1:12" s="326" customFormat="1" ht="15">
      <c r="A198" s="441"/>
      <c r="B198" s="512"/>
      <c r="C198" s="409"/>
      <c r="D198" s="410"/>
      <c r="E198" s="305" t="s">
        <v>75</v>
      </c>
      <c r="F198" s="231">
        <v>41658138.4</v>
      </c>
      <c r="G198" s="356"/>
      <c r="H198" s="357"/>
      <c r="I198" s="358"/>
      <c r="J198" s="358"/>
      <c r="K198" s="359"/>
      <c r="L198" s="325"/>
    </row>
    <row r="199" spans="1:12" s="326" customFormat="1" ht="15">
      <c r="A199" s="441"/>
      <c r="B199" s="513"/>
      <c r="C199" s="409"/>
      <c r="D199" s="410"/>
      <c r="E199" s="305" t="s">
        <v>18</v>
      </c>
      <c r="F199" s="238">
        <v>2192533.8000000045</v>
      </c>
      <c r="G199" s="356"/>
      <c r="H199" s="357"/>
      <c r="I199" s="358"/>
      <c r="J199" s="358"/>
      <c r="K199" s="359"/>
      <c r="L199" s="325"/>
    </row>
    <row r="200" spans="1:12" s="326" customFormat="1" ht="15">
      <c r="A200" s="391" t="s">
        <v>339</v>
      </c>
      <c r="B200" s="392" t="s">
        <v>443</v>
      </c>
      <c r="C200" s="375"/>
      <c r="D200" s="378"/>
      <c r="E200" s="81" t="s">
        <v>34</v>
      </c>
      <c r="F200" s="164">
        <f>SUM(F201:F203)</f>
        <v>41046597</v>
      </c>
      <c r="G200" s="356"/>
      <c r="H200" s="357"/>
      <c r="I200" s="358"/>
      <c r="J200" s="358"/>
      <c r="K200" s="359"/>
      <c r="L200" s="325"/>
    </row>
    <row r="201" spans="1:12" s="326" customFormat="1" ht="15">
      <c r="A201" s="391"/>
      <c r="B201" s="392"/>
      <c r="C201" s="376"/>
      <c r="D201" s="379"/>
      <c r="E201" s="305" t="s">
        <v>74</v>
      </c>
      <c r="F201" s="250">
        <v>28200000</v>
      </c>
      <c r="G201" s="356"/>
      <c r="H201" s="357"/>
      <c r="I201" s="358"/>
      <c r="J201" s="358"/>
      <c r="K201" s="359"/>
      <c r="L201" s="325"/>
    </row>
    <row r="202" spans="1:12" s="326" customFormat="1" ht="15">
      <c r="A202" s="391"/>
      <c r="B202" s="392"/>
      <c r="C202" s="376"/>
      <c r="D202" s="379"/>
      <c r="E202" s="305" t="s">
        <v>75</v>
      </c>
      <c r="F202" s="250">
        <v>12204267</v>
      </c>
      <c r="G202" s="356"/>
      <c r="H202" s="357"/>
      <c r="I202" s="358"/>
      <c r="J202" s="358"/>
      <c r="K202" s="359"/>
      <c r="L202" s="325"/>
    </row>
    <row r="203" spans="1:12" s="326" customFormat="1" ht="15">
      <c r="A203" s="391"/>
      <c r="B203" s="392"/>
      <c r="C203" s="377"/>
      <c r="D203" s="380"/>
      <c r="E203" s="305" t="s">
        <v>18</v>
      </c>
      <c r="F203" s="237">
        <v>642330</v>
      </c>
      <c r="G203" s="356"/>
      <c r="H203" s="357"/>
      <c r="I203" s="358"/>
      <c r="J203" s="358"/>
      <c r="K203" s="359"/>
      <c r="L203" s="325"/>
    </row>
    <row r="204" spans="1:12" s="326" customFormat="1" ht="15">
      <c r="A204" s="391" t="s">
        <v>340</v>
      </c>
      <c r="B204" s="374" t="s">
        <v>444</v>
      </c>
      <c r="C204" s="375"/>
      <c r="D204" s="378"/>
      <c r="E204" s="81" t="s">
        <v>34</v>
      </c>
      <c r="F204" s="164">
        <f>SUM(F205:F207)</f>
        <v>8680680</v>
      </c>
      <c r="G204" s="356"/>
      <c r="H204" s="357"/>
      <c r="I204" s="358"/>
      <c r="J204" s="358"/>
      <c r="K204" s="359"/>
      <c r="L204" s="325"/>
    </row>
    <row r="205" spans="1:12" s="326" customFormat="1" ht="15">
      <c r="A205" s="391"/>
      <c r="B205" s="374"/>
      <c r="C205" s="376"/>
      <c r="D205" s="379"/>
      <c r="E205" s="305" t="s">
        <v>74</v>
      </c>
      <c r="F205" s="250">
        <v>4950000</v>
      </c>
      <c r="G205" s="356"/>
      <c r="H205" s="357"/>
      <c r="I205" s="358"/>
      <c r="J205" s="358"/>
      <c r="K205" s="359"/>
      <c r="L205" s="325"/>
    </row>
    <row r="206" spans="1:12" s="326" customFormat="1" ht="15">
      <c r="A206" s="391"/>
      <c r="B206" s="374"/>
      <c r="C206" s="376"/>
      <c r="D206" s="379"/>
      <c r="E206" s="305" t="s">
        <v>75</v>
      </c>
      <c r="F206" s="250">
        <v>3544146</v>
      </c>
      <c r="G206" s="356"/>
      <c r="H206" s="357"/>
      <c r="I206" s="358"/>
      <c r="J206" s="358"/>
      <c r="K206" s="359"/>
      <c r="L206" s="325"/>
    </row>
    <row r="207" spans="1:12" s="326" customFormat="1" ht="15">
      <c r="A207" s="391"/>
      <c r="B207" s="374"/>
      <c r="C207" s="377"/>
      <c r="D207" s="380"/>
      <c r="E207" s="305" t="s">
        <v>18</v>
      </c>
      <c r="F207" s="237">
        <v>186534</v>
      </c>
      <c r="G207" s="356"/>
      <c r="H207" s="357"/>
      <c r="I207" s="358"/>
      <c r="J207" s="358"/>
      <c r="K207" s="359"/>
      <c r="L207" s="325"/>
    </row>
    <row r="208" spans="1:12" s="326" customFormat="1" ht="15">
      <c r="A208" s="391" t="s">
        <v>341</v>
      </c>
      <c r="B208" s="374" t="s">
        <v>445</v>
      </c>
      <c r="C208" s="375"/>
      <c r="D208" s="378"/>
      <c r="E208" s="81" t="s">
        <v>34</v>
      </c>
      <c r="F208" s="164">
        <f>SUM(F209:F211)</f>
        <v>74975891</v>
      </c>
      <c r="G208" s="356"/>
      <c r="H208" s="357"/>
      <c r="I208" s="358"/>
      <c r="J208" s="358"/>
      <c r="K208" s="359"/>
      <c r="L208" s="325"/>
    </row>
    <row r="209" spans="1:12" s="326" customFormat="1" ht="15">
      <c r="A209" s="391"/>
      <c r="B209" s="374"/>
      <c r="C209" s="376"/>
      <c r="D209" s="379"/>
      <c r="E209" s="305" t="s">
        <v>74</v>
      </c>
      <c r="F209" s="250">
        <v>50180000</v>
      </c>
      <c r="G209" s="356"/>
      <c r="H209" s="357"/>
      <c r="I209" s="358"/>
      <c r="J209" s="358"/>
      <c r="K209" s="359"/>
      <c r="L209" s="325"/>
    </row>
    <row r="210" spans="1:12" s="326" customFormat="1" ht="15">
      <c r="A210" s="391"/>
      <c r="B210" s="374"/>
      <c r="C210" s="376"/>
      <c r="D210" s="379"/>
      <c r="E210" s="305" t="s">
        <v>75</v>
      </c>
      <c r="F210" s="250">
        <v>23556096</v>
      </c>
      <c r="G210" s="356"/>
      <c r="H210" s="357"/>
      <c r="I210" s="358"/>
      <c r="J210" s="358"/>
      <c r="K210" s="359"/>
      <c r="L210" s="325"/>
    </row>
    <row r="211" spans="1:12" s="326" customFormat="1" ht="15">
      <c r="A211" s="391"/>
      <c r="B211" s="374"/>
      <c r="C211" s="377"/>
      <c r="D211" s="380"/>
      <c r="E211" s="305" t="s">
        <v>18</v>
      </c>
      <c r="F211" s="125">
        <v>1239795</v>
      </c>
      <c r="G211" s="356"/>
      <c r="H211" s="357"/>
      <c r="I211" s="358"/>
      <c r="J211" s="358"/>
      <c r="K211" s="359"/>
      <c r="L211" s="325"/>
    </row>
    <row r="212" spans="1:12" s="326" customFormat="1" ht="13.5" customHeight="1">
      <c r="A212" s="385"/>
      <c r="B212" s="386"/>
      <c r="C212" s="386"/>
      <c r="D212" s="386"/>
      <c r="E212" s="386"/>
      <c r="F212" s="387"/>
      <c r="G212" s="356"/>
      <c r="H212" s="357"/>
      <c r="I212" s="358"/>
      <c r="J212" s="358"/>
      <c r="K212" s="359"/>
      <c r="L212" s="325"/>
    </row>
    <row r="213" spans="1:12" s="326" customFormat="1" ht="41.25" customHeight="1" hidden="1">
      <c r="A213" s="302"/>
      <c r="B213" s="303"/>
      <c r="C213" s="304"/>
      <c r="D213" s="305"/>
      <c r="E213" s="305"/>
      <c r="F213" s="238"/>
      <c r="G213" s="356"/>
      <c r="H213" s="357"/>
      <c r="I213" s="358"/>
      <c r="J213" s="358"/>
      <c r="K213" s="359"/>
      <c r="L213" s="325"/>
    </row>
    <row r="214" spans="1:12" s="326" customFormat="1" ht="13.5" customHeight="1" hidden="1">
      <c r="A214" s="302"/>
      <c r="B214" s="303"/>
      <c r="C214" s="304"/>
      <c r="D214" s="305"/>
      <c r="E214" s="305"/>
      <c r="F214" s="238"/>
      <c r="G214" s="356"/>
      <c r="H214" s="357"/>
      <c r="I214" s="358"/>
      <c r="J214" s="358"/>
      <c r="K214" s="359"/>
      <c r="L214" s="325"/>
    </row>
    <row r="215" spans="1:12" s="326" customFormat="1" ht="15" hidden="1">
      <c r="A215" s="302"/>
      <c r="B215" s="303"/>
      <c r="C215" s="304"/>
      <c r="D215" s="305"/>
      <c r="E215" s="305"/>
      <c r="F215" s="238"/>
      <c r="G215" s="356"/>
      <c r="H215" s="357"/>
      <c r="I215" s="358"/>
      <c r="J215" s="358"/>
      <c r="K215" s="359"/>
      <c r="L215" s="325"/>
    </row>
    <row r="216" spans="1:12" s="326" customFormat="1" ht="15" hidden="1">
      <c r="A216" s="302"/>
      <c r="B216" s="303"/>
      <c r="C216" s="304"/>
      <c r="D216" s="305"/>
      <c r="E216" s="305"/>
      <c r="F216" s="238"/>
      <c r="G216" s="356"/>
      <c r="H216" s="357"/>
      <c r="I216" s="358"/>
      <c r="J216" s="358"/>
      <c r="K216" s="359"/>
      <c r="L216" s="325"/>
    </row>
    <row r="217" spans="1:12" s="326" customFormat="1" ht="15" hidden="1">
      <c r="A217" s="302"/>
      <c r="B217" s="303"/>
      <c r="C217" s="304"/>
      <c r="D217" s="305"/>
      <c r="E217" s="305"/>
      <c r="F217" s="238"/>
      <c r="G217" s="356"/>
      <c r="H217" s="357"/>
      <c r="I217" s="358"/>
      <c r="J217" s="358"/>
      <c r="K217" s="359"/>
      <c r="L217" s="325"/>
    </row>
    <row r="218" spans="1:12" s="326" customFormat="1" ht="15" hidden="1">
      <c r="A218" s="302"/>
      <c r="B218" s="303"/>
      <c r="C218" s="304"/>
      <c r="D218" s="305"/>
      <c r="E218" s="305"/>
      <c r="F218" s="238"/>
      <c r="G218" s="356"/>
      <c r="H218" s="357"/>
      <c r="I218" s="358"/>
      <c r="J218" s="358"/>
      <c r="K218" s="359"/>
      <c r="L218" s="325"/>
    </row>
    <row r="219" spans="1:12" s="326" customFormat="1" ht="15" hidden="1">
      <c r="A219" s="302"/>
      <c r="B219" s="303"/>
      <c r="C219" s="304"/>
      <c r="D219" s="305"/>
      <c r="E219" s="305"/>
      <c r="F219" s="238"/>
      <c r="G219" s="356"/>
      <c r="H219" s="357"/>
      <c r="I219" s="358"/>
      <c r="J219" s="358"/>
      <c r="K219" s="359"/>
      <c r="L219" s="325"/>
    </row>
    <row r="220" spans="1:12" s="326" customFormat="1" ht="15" hidden="1">
      <c r="A220" s="302"/>
      <c r="B220" s="303"/>
      <c r="C220" s="304"/>
      <c r="D220" s="305"/>
      <c r="E220" s="305"/>
      <c r="F220" s="238"/>
      <c r="G220" s="356"/>
      <c r="H220" s="357"/>
      <c r="I220" s="358"/>
      <c r="J220" s="358"/>
      <c r="K220" s="359"/>
      <c r="L220" s="325"/>
    </row>
    <row r="221" spans="1:12" s="326" customFormat="1" ht="15" hidden="1">
      <c r="A221" s="302"/>
      <c r="B221" s="303"/>
      <c r="C221" s="304"/>
      <c r="D221" s="305"/>
      <c r="E221" s="305"/>
      <c r="F221" s="238"/>
      <c r="G221" s="356"/>
      <c r="H221" s="357"/>
      <c r="I221" s="358"/>
      <c r="J221" s="358"/>
      <c r="K221" s="359"/>
      <c r="L221" s="325"/>
    </row>
    <row r="222" spans="1:12" s="326" customFormat="1" ht="15" hidden="1">
      <c r="A222" s="302"/>
      <c r="B222" s="303"/>
      <c r="C222" s="304"/>
      <c r="D222" s="305"/>
      <c r="E222" s="305"/>
      <c r="F222" s="238"/>
      <c r="G222" s="356"/>
      <c r="H222" s="357"/>
      <c r="I222" s="358"/>
      <c r="J222" s="358"/>
      <c r="K222" s="359"/>
      <c r="L222" s="325"/>
    </row>
    <row r="223" spans="1:12" s="326" customFormat="1" ht="15" hidden="1">
      <c r="A223" s="302"/>
      <c r="B223" s="303"/>
      <c r="C223" s="304"/>
      <c r="D223" s="305"/>
      <c r="E223" s="305"/>
      <c r="F223" s="238"/>
      <c r="G223" s="356"/>
      <c r="H223" s="357"/>
      <c r="I223" s="358"/>
      <c r="J223" s="358"/>
      <c r="K223" s="359"/>
      <c r="L223" s="325"/>
    </row>
    <row r="224" spans="1:12" s="326" customFormat="1" ht="15" hidden="1">
      <c r="A224" s="302"/>
      <c r="B224" s="303"/>
      <c r="C224" s="304"/>
      <c r="D224" s="305"/>
      <c r="E224" s="305"/>
      <c r="F224" s="238"/>
      <c r="G224" s="356"/>
      <c r="H224" s="357"/>
      <c r="I224" s="358"/>
      <c r="J224" s="358"/>
      <c r="K224" s="359"/>
      <c r="L224" s="325"/>
    </row>
    <row r="225" spans="1:12" s="326" customFormat="1" ht="15" hidden="1">
      <c r="A225" s="302"/>
      <c r="B225" s="303"/>
      <c r="C225" s="304"/>
      <c r="D225" s="305"/>
      <c r="E225" s="305"/>
      <c r="F225" s="238"/>
      <c r="G225" s="356"/>
      <c r="H225" s="357"/>
      <c r="I225" s="358"/>
      <c r="J225" s="358"/>
      <c r="K225" s="359"/>
      <c r="L225" s="325"/>
    </row>
    <row r="226" spans="1:12" s="326" customFormat="1" ht="15" hidden="1">
      <c r="A226" s="302"/>
      <c r="B226" s="303"/>
      <c r="C226" s="304"/>
      <c r="D226" s="305"/>
      <c r="E226" s="305"/>
      <c r="F226" s="238"/>
      <c r="G226" s="356"/>
      <c r="H226" s="357"/>
      <c r="I226" s="358"/>
      <c r="J226" s="358"/>
      <c r="K226" s="359"/>
      <c r="L226" s="325"/>
    </row>
    <row r="227" spans="1:12" s="326" customFormat="1" ht="15" hidden="1">
      <c r="A227" s="302"/>
      <c r="B227" s="303"/>
      <c r="C227" s="304"/>
      <c r="D227" s="305"/>
      <c r="E227" s="305"/>
      <c r="F227" s="238"/>
      <c r="G227" s="356"/>
      <c r="H227" s="357"/>
      <c r="I227" s="358"/>
      <c r="J227" s="358"/>
      <c r="K227" s="359"/>
      <c r="L227" s="325"/>
    </row>
    <row r="228" spans="1:12" s="326" customFormat="1" ht="15" hidden="1">
      <c r="A228" s="302"/>
      <c r="B228" s="366"/>
      <c r="C228" s="304"/>
      <c r="D228" s="305"/>
      <c r="E228" s="305"/>
      <c r="F228" s="238"/>
      <c r="G228" s="340"/>
      <c r="H228" s="339"/>
      <c r="I228" s="339"/>
      <c r="J228" s="339"/>
      <c r="K228" s="339"/>
      <c r="L228" s="339"/>
    </row>
    <row r="229" spans="1:12" s="326" customFormat="1" ht="15" hidden="1">
      <c r="A229" s="302"/>
      <c r="B229" s="366"/>
      <c r="C229" s="304"/>
      <c r="D229" s="305"/>
      <c r="E229" s="305"/>
      <c r="F229" s="238"/>
      <c r="G229" s="340"/>
      <c r="H229" s="339"/>
      <c r="I229" s="339"/>
      <c r="J229" s="339"/>
      <c r="K229" s="339"/>
      <c r="L229" s="339"/>
    </row>
    <row r="230" spans="1:12" s="326" customFormat="1" ht="15" hidden="1">
      <c r="A230" s="302"/>
      <c r="B230" s="366"/>
      <c r="C230" s="304"/>
      <c r="D230" s="305"/>
      <c r="E230" s="305"/>
      <c r="F230" s="238"/>
      <c r="G230" s="340"/>
      <c r="H230" s="339"/>
      <c r="I230" s="339"/>
      <c r="J230" s="339"/>
      <c r="K230" s="339"/>
      <c r="L230" s="339"/>
    </row>
    <row r="231" spans="1:12" s="326" customFormat="1" ht="15" hidden="1">
      <c r="A231" s="302"/>
      <c r="B231" s="366"/>
      <c r="C231" s="304"/>
      <c r="D231" s="305"/>
      <c r="E231" s="305"/>
      <c r="F231" s="238"/>
      <c r="G231" s="340"/>
      <c r="H231" s="339"/>
      <c r="I231" s="339"/>
      <c r="J231" s="339"/>
      <c r="K231" s="339"/>
      <c r="L231" s="339"/>
    </row>
    <row r="232" spans="1:12" s="326" customFormat="1" ht="13.5" customHeight="1" hidden="1">
      <c r="A232" s="484" t="s">
        <v>246</v>
      </c>
      <c r="B232" s="499" t="s">
        <v>245</v>
      </c>
      <c r="C232" s="502"/>
      <c r="D232" s="432"/>
      <c r="E232" s="333" t="s">
        <v>96</v>
      </c>
      <c r="F232" s="165">
        <f>SUM(F233:F235)</f>
        <v>781967954</v>
      </c>
      <c r="G232" s="356"/>
      <c r="H232" s="357"/>
      <c r="I232" s="358"/>
      <c r="J232" s="358"/>
      <c r="K232" s="359"/>
      <c r="L232" s="325"/>
    </row>
    <row r="233" spans="1:12" s="326" customFormat="1" ht="15" hidden="1">
      <c r="A233" s="485"/>
      <c r="B233" s="500"/>
      <c r="C233" s="503"/>
      <c r="D233" s="433"/>
      <c r="E233" s="333" t="s">
        <v>74</v>
      </c>
      <c r="F233" s="165">
        <f>SUM(F237,F285)</f>
        <v>464015900</v>
      </c>
      <c r="G233" s="356"/>
      <c r="H233" s="357"/>
      <c r="I233" s="358"/>
      <c r="J233" s="358"/>
      <c r="K233" s="359"/>
      <c r="L233" s="325"/>
    </row>
    <row r="234" spans="1:12" s="326" customFormat="1" ht="15" hidden="1">
      <c r="A234" s="485"/>
      <c r="B234" s="500"/>
      <c r="C234" s="503"/>
      <c r="D234" s="433"/>
      <c r="E234" s="333" t="s">
        <v>75</v>
      </c>
      <c r="F234" s="165">
        <f>SUM(F238,F286)</f>
        <v>315883395</v>
      </c>
      <c r="G234" s="356"/>
      <c r="H234" s="357"/>
      <c r="I234" s="358"/>
      <c r="J234" s="358"/>
      <c r="K234" s="359"/>
      <c r="L234" s="325"/>
    </row>
    <row r="235" spans="1:12" s="326" customFormat="1" ht="15" hidden="1">
      <c r="A235" s="486"/>
      <c r="B235" s="501"/>
      <c r="C235" s="504"/>
      <c r="D235" s="434"/>
      <c r="E235" s="333" t="s">
        <v>18</v>
      </c>
      <c r="F235" s="165">
        <f>SUM(F287)</f>
        <v>2068659</v>
      </c>
      <c r="G235" s="356"/>
      <c r="H235" s="357"/>
      <c r="I235" s="358"/>
      <c r="J235" s="358"/>
      <c r="K235" s="359"/>
      <c r="L235" s="325"/>
    </row>
    <row r="236" spans="1:12" s="326" customFormat="1" ht="15" hidden="1">
      <c r="A236" s="506" t="s">
        <v>72</v>
      </c>
      <c r="B236" s="487" t="s">
        <v>97</v>
      </c>
      <c r="C236" s="490">
        <f>SUM(C239:C283)</f>
        <v>35.3644</v>
      </c>
      <c r="D236" s="432"/>
      <c r="E236" s="333" t="s">
        <v>34</v>
      </c>
      <c r="F236" s="165">
        <f>SUM(F237:F238)</f>
        <v>529948851</v>
      </c>
      <c r="G236" s="356"/>
      <c r="H236" s="357"/>
      <c r="I236" s="358"/>
      <c r="J236" s="358"/>
      <c r="K236" s="359"/>
      <c r="L236" s="325"/>
    </row>
    <row r="237" spans="1:12" s="326" customFormat="1" ht="15" hidden="1">
      <c r="A237" s="507"/>
      <c r="B237" s="488"/>
      <c r="C237" s="491"/>
      <c r="D237" s="433"/>
      <c r="E237" s="333" t="s">
        <v>74</v>
      </c>
      <c r="F237" s="165">
        <f>SUM(F240,F244,F248,F253,F257,F261,F265,F269,F273,F277,F281)</f>
        <v>339065456</v>
      </c>
      <c r="G237" s="356"/>
      <c r="H237" s="357"/>
      <c r="I237" s="358"/>
      <c r="J237" s="358"/>
      <c r="K237" s="359"/>
      <c r="L237" s="325"/>
    </row>
    <row r="238" spans="1:12" s="326" customFormat="1" ht="15" hidden="1">
      <c r="A238" s="508"/>
      <c r="B238" s="489"/>
      <c r="C238" s="492"/>
      <c r="D238" s="434"/>
      <c r="E238" s="333" t="s">
        <v>75</v>
      </c>
      <c r="F238" s="165">
        <f>SUM(F241,F242,F245,F246,F249,F250,F251,F254,F255,F258,F259,F262,F263,F266,F267,F270,F271,F274,F275,F278,F279,F282,F283)</f>
        <v>190883395</v>
      </c>
      <c r="G238" s="356"/>
      <c r="H238" s="357"/>
      <c r="I238" s="358"/>
      <c r="J238" s="358"/>
      <c r="K238" s="359"/>
      <c r="L238" s="325"/>
    </row>
    <row r="239" spans="1:12" s="326" customFormat="1" ht="45" hidden="1">
      <c r="A239" s="406" t="s">
        <v>656</v>
      </c>
      <c r="B239" s="116" t="s">
        <v>275</v>
      </c>
      <c r="C239" s="296">
        <v>5.3575</v>
      </c>
      <c r="D239" s="309"/>
      <c r="E239" s="333"/>
      <c r="F239" s="125">
        <f>F240+F242+F241</f>
        <v>46356075</v>
      </c>
      <c r="G239" s="356"/>
      <c r="H239" s="357"/>
      <c r="I239" s="358"/>
      <c r="J239" s="358"/>
      <c r="K239" s="359"/>
      <c r="L239" s="325"/>
    </row>
    <row r="240" spans="1:12" s="326" customFormat="1" ht="15" hidden="1">
      <c r="A240" s="407"/>
      <c r="B240" s="254" t="s">
        <v>276</v>
      </c>
      <c r="C240" s="296"/>
      <c r="D240" s="309"/>
      <c r="E240" s="323" t="s">
        <v>74</v>
      </c>
      <c r="F240" s="255">
        <v>32449252</v>
      </c>
      <c r="G240" s="356"/>
      <c r="H240" s="357"/>
      <c r="I240" s="358"/>
      <c r="J240" s="358"/>
      <c r="K240" s="359"/>
      <c r="L240" s="325"/>
    </row>
    <row r="241" spans="1:12" s="326" customFormat="1" ht="15" hidden="1">
      <c r="A241" s="408"/>
      <c r="B241" s="116" t="s">
        <v>277</v>
      </c>
      <c r="C241" s="296"/>
      <c r="D241" s="309"/>
      <c r="E241" s="323" t="s">
        <v>75</v>
      </c>
      <c r="F241" s="125">
        <v>12285158</v>
      </c>
      <c r="G241" s="356"/>
      <c r="H241" s="357"/>
      <c r="I241" s="358"/>
      <c r="J241" s="358"/>
      <c r="K241" s="359"/>
      <c r="L241" s="325"/>
    </row>
    <row r="242" spans="1:12" s="326" customFormat="1" ht="15" hidden="1">
      <c r="A242" s="406" t="s">
        <v>657</v>
      </c>
      <c r="B242" s="116" t="s">
        <v>93</v>
      </c>
      <c r="C242" s="296"/>
      <c r="D242" s="309"/>
      <c r="E242" s="323" t="s">
        <v>75</v>
      </c>
      <c r="F242" s="125">
        <v>1621665</v>
      </c>
      <c r="G242" s="356"/>
      <c r="H242" s="357"/>
      <c r="I242" s="358"/>
      <c r="J242" s="358"/>
      <c r="K242" s="359"/>
      <c r="L242" s="325"/>
    </row>
    <row r="243" spans="1:12" s="326" customFormat="1" ht="45" hidden="1">
      <c r="A243" s="407"/>
      <c r="B243" s="227" t="s">
        <v>278</v>
      </c>
      <c r="C243" s="296">
        <v>3.579</v>
      </c>
      <c r="D243" s="309"/>
      <c r="E243" s="333"/>
      <c r="F243" s="125">
        <f>F244+F246+F245</f>
        <v>72731667</v>
      </c>
      <c r="G243" s="356"/>
      <c r="H243" s="357"/>
      <c r="I243" s="358"/>
      <c r="J243" s="358"/>
      <c r="K243" s="359"/>
      <c r="L243" s="325"/>
    </row>
    <row r="244" spans="1:12" s="326" customFormat="1" ht="15" hidden="1">
      <c r="A244" s="407"/>
      <c r="B244" s="254" t="s">
        <v>276</v>
      </c>
      <c r="C244" s="296"/>
      <c r="D244" s="309"/>
      <c r="E244" s="323" t="s">
        <v>74</v>
      </c>
      <c r="F244" s="256">
        <v>42124830</v>
      </c>
      <c r="G244" s="356"/>
      <c r="H244" s="357"/>
      <c r="I244" s="358"/>
      <c r="J244" s="358"/>
      <c r="K244" s="359"/>
      <c r="L244" s="325"/>
    </row>
    <row r="245" spans="1:12" s="326" customFormat="1" ht="15" hidden="1">
      <c r="A245" s="407"/>
      <c r="B245" s="116" t="s">
        <v>277</v>
      </c>
      <c r="C245" s="296"/>
      <c r="D245" s="309"/>
      <c r="E245" s="323" t="s">
        <v>75</v>
      </c>
      <c r="F245" s="125">
        <v>29656491</v>
      </c>
      <c r="G245" s="356"/>
      <c r="H245" s="357"/>
      <c r="I245" s="358"/>
      <c r="J245" s="358"/>
      <c r="K245" s="359"/>
      <c r="L245" s="325"/>
    </row>
    <row r="246" spans="1:12" s="326" customFormat="1" ht="15" hidden="1">
      <c r="A246" s="408"/>
      <c r="B246" s="116" t="s">
        <v>93</v>
      </c>
      <c r="C246" s="296"/>
      <c r="D246" s="309"/>
      <c r="E246" s="323" t="s">
        <v>75</v>
      </c>
      <c r="F246" s="125">
        <v>950346</v>
      </c>
      <c r="G246" s="356"/>
      <c r="H246" s="357"/>
      <c r="I246" s="358"/>
      <c r="J246" s="358"/>
      <c r="K246" s="359"/>
      <c r="L246" s="325"/>
    </row>
    <row r="247" spans="1:12" s="326" customFormat="1" ht="45" hidden="1">
      <c r="A247" s="406" t="s">
        <v>658</v>
      </c>
      <c r="B247" s="117" t="s">
        <v>160</v>
      </c>
      <c r="C247" s="296">
        <v>3.74</v>
      </c>
      <c r="D247" s="309"/>
      <c r="E247" s="333"/>
      <c r="F247" s="125">
        <f>F248+F251+F250+F249</f>
        <v>44232398</v>
      </c>
      <c r="G247" s="356"/>
      <c r="H247" s="357"/>
      <c r="I247" s="358"/>
      <c r="J247" s="358"/>
      <c r="K247" s="359"/>
      <c r="L247" s="325"/>
    </row>
    <row r="248" spans="1:12" s="326" customFormat="1" ht="15" hidden="1">
      <c r="A248" s="407"/>
      <c r="B248" s="254" t="s">
        <v>276</v>
      </c>
      <c r="C248" s="296"/>
      <c r="D248" s="309"/>
      <c r="E248" s="323" t="s">
        <v>74</v>
      </c>
      <c r="F248" s="255">
        <v>30787678</v>
      </c>
      <c r="G248" s="356"/>
      <c r="H248" s="357"/>
      <c r="I248" s="358"/>
      <c r="J248" s="358"/>
      <c r="K248" s="359"/>
      <c r="L248" s="325"/>
    </row>
    <row r="249" spans="1:12" s="326" customFormat="1" ht="15" hidden="1">
      <c r="A249" s="407"/>
      <c r="B249" s="116" t="s">
        <v>277</v>
      </c>
      <c r="C249" s="296"/>
      <c r="D249" s="309"/>
      <c r="E249" s="323" t="s">
        <v>75</v>
      </c>
      <c r="F249" s="125">
        <v>12068667</v>
      </c>
      <c r="G249" s="356"/>
      <c r="H249" s="357"/>
      <c r="I249" s="358"/>
      <c r="J249" s="358"/>
      <c r="K249" s="359"/>
      <c r="L249" s="325"/>
    </row>
    <row r="250" spans="1:12" s="326" customFormat="1" ht="15" hidden="1">
      <c r="A250" s="407"/>
      <c r="B250" s="116" t="s">
        <v>93</v>
      </c>
      <c r="C250" s="296"/>
      <c r="D250" s="309"/>
      <c r="E250" s="323" t="s">
        <v>75</v>
      </c>
      <c r="F250" s="125">
        <v>1126053</v>
      </c>
      <c r="G250" s="356"/>
      <c r="H250" s="357"/>
      <c r="I250" s="358"/>
      <c r="J250" s="358"/>
      <c r="K250" s="359"/>
      <c r="L250" s="325"/>
    </row>
    <row r="251" spans="1:12" s="326" customFormat="1" ht="15" hidden="1">
      <c r="A251" s="408"/>
      <c r="B251" s="116" t="s">
        <v>94</v>
      </c>
      <c r="C251" s="296"/>
      <c r="D251" s="309"/>
      <c r="E251" s="323" t="s">
        <v>75</v>
      </c>
      <c r="F251" s="125">
        <v>250000</v>
      </c>
      <c r="G251" s="356"/>
      <c r="H251" s="357"/>
      <c r="I251" s="358"/>
      <c r="J251" s="358"/>
      <c r="K251" s="359"/>
      <c r="L251" s="325"/>
    </row>
    <row r="252" spans="1:12" s="326" customFormat="1" ht="45" hidden="1">
      <c r="A252" s="406" t="s">
        <v>659</v>
      </c>
      <c r="B252" s="117" t="s">
        <v>279</v>
      </c>
      <c r="C252" s="296">
        <v>2.2256</v>
      </c>
      <c r="D252" s="309"/>
      <c r="E252" s="333"/>
      <c r="F252" s="125">
        <f>F254+F255+F253</f>
        <v>20616483</v>
      </c>
      <c r="G252" s="356"/>
      <c r="H252" s="357"/>
      <c r="I252" s="358"/>
      <c r="J252" s="358"/>
      <c r="K252" s="359"/>
      <c r="L252" s="325"/>
    </row>
    <row r="253" spans="1:12" s="326" customFormat="1" ht="15" hidden="1">
      <c r="A253" s="407"/>
      <c r="B253" s="254" t="s">
        <v>276</v>
      </c>
      <c r="C253" s="296"/>
      <c r="D253" s="309"/>
      <c r="E253" s="323" t="s">
        <v>74</v>
      </c>
      <c r="F253" s="255">
        <v>14431538</v>
      </c>
      <c r="G253" s="356"/>
      <c r="H253" s="357"/>
      <c r="I253" s="358"/>
      <c r="J253" s="358"/>
      <c r="K253" s="359"/>
      <c r="L253" s="325"/>
    </row>
    <row r="254" spans="1:12" s="326" customFormat="1" ht="15" hidden="1">
      <c r="A254" s="407"/>
      <c r="B254" s="116" t="s">
        <v>277</v>
      </c>
      <c r="C254" s="296"/>
      <c r="D254" s="309"/>
      <c r="E254" s="323" t="s">
        <v>75</v>
      </c>
      <c r="F254" s="125">
        <v>5864929</v>
      </c>
      <c r="G254" s="356"/>
      <c r="H254" s="357"/>
      <c r="I254" s="358"/>
      <c r="J254" s="358"/>
      <c r="K254" s="359"/>
      <c r="L254" s="325"/>
    </row>
    <row r="255" spans="1:12" s="326" customFormat="1" ht="15" hidden="1">
      <c r="A255" s="408"/>
      <c r="B255" s="116" t="s">
        <v>93</v>
      </c>
      <c r="C255" s="296"/>
      <c r="D255" s="309"/>
      <c r="E255" s="323" t="s">
        <v>75</v>
      </c>
      <c r="F255" s="125">
        <v>320016</v>
      </c>
      <c r="G255" s="356"/>
      <c r="H255" s="357"/>
      <c r="I255" s="358"/>
      <c r="J255" s="358"/>
      <c r="K255" s="359"/>
      <c r="L255" s="325"/>
    </row>
    <row r="256" spans="1:12" s="326" customFormat="1" ht="30" hidden="1">
      <c r="A256" s="406" t="s">
        <v>660</v>
      </c>
      <c r="B256" s="117" t="s">
        <v>280</v>
      </c>
      <c r="C256" s="296">
        <v>0.931</v>
      </c>
      <c r="D256" s="309"/>
      <c r="E256" s="333"/>
      <c r="F256" s="125">
        <f>F257+F259+F258</f>
        <v>10222554</v>
      </c>
      <c r="G256" s="356"/>
      <c r="H256" s="357"/>
      <c r="I256" s="358"/>
      <c r="J256" s="358"/>
      <c r="K256" s="359"/>
      <c r="L256" s="325"/>
    </row>
    <row r="257" spans="1:12" s="326" customFormat="1" ht="15" hidden="1">
      <c r="A257" s="407"/>
      <c r="B257" s="254" t="s">
        <v>276</v>
      </c>
      <c r="C257" s="296"/>
      <c r="D257" s="309"/>
      <c r="E257" s="323" t="s">
        <v>74</v>
      </c>
      <c r="F257" s="255">
        <v>7155787</v>
      </c>
      <c r="G257" s="356"/>
      <c r="H257" s="357"/>
      <c r="I257" s="358"/>
      <c r="J257" s="358"/>
      <c r="K257" s="359"/>
      <c r="L257" s="325"/>
    </row>
    <row r="258" spans="1:12" s="326" customFormat="1" ht="13.5" customHeight="1" hidden="1">
      <c r="A258" s="407"/>
      <c r="B258" s="116" t="s">
        <v>277</v>
      </c>
      <c r="C258" s="296"/>
      <c r="D258" s="309"/>
      <c r="E258" s="323" t="s">
        <v>75</v>
      </c>
      <c r="F258" s="125">
        <v>2899678</v>
      </c>
      <c r="G258" s="356"/>
      <c r="H258" s="357"/>
      <c r="I258" s="358"/>
      <c r="J258" s="358"/>
      <c r="K258" s="359"/>
      <c r="L258" s="325"/>
    </row>
    <row r="259" spans="1:12" s="326" customFormat="1" ht="13.5" customHeight="1" hidden="1">
      <c r="A259" s="408"/>
      <c r="B259" s="116" t="s">
        <v>93</v>
      </c>
      <c r="C259" s="296"/>
      <c r="D259" s="309"/>
      <c r="E259" s="323" t="s">
        <v>75</v>
      </c>
      <c r="F259" s="125">
        <v>167089</v>
      </c>
      <c r="G259" s="356"/>
      <c r="H259" s="357"/>
      <c r="I259" s="358"/>
      <c r="J259" s="358"/>
      <c r="K259" s="359"/>
      <c r="L259" s="325"/>
    </row>
    <row r="260" spans="1:12" s="326" customFormat="1" ht="45" hidden="1">
      <c r="A260" s="406" t="s">
        <v>661</v>
      </c>
      <c r="B260" s="116" t="s">
        <v>281</v>
      </c>
      <c r="C260" s="296">
        <v>3.584</v>
      </c>
      <c r="D260" s="309"/>
      <c r="E260" s="333"/>
      <c r="F260" s="125">
        <f>F261+F263+F262</f>
        <v>43382321</v>
      </c>
      <c r="G260" s="356"/>
      <c r="H260" s="357"/>
      <c r="I260" s="358"/>
      <c r="J260" s="358"/>
      <c r="K260" s="359"/>
      <c r="L260" s="325"/>
    </row>
    <row r="261" spans="1:12" s="326" customFormat="1" ht="15" hidden="1">
      <c r="A261" s="407"/>
      <c r="B261" s="254" t="s">
        <v>276</v>
      </c>
      <c r="C261" s="296"/>
      <c r="D261" s="309"/>
      <c r="E261" s="323" t="s">
        <v>74</v>
      </c>
      <c r="F261" s="255">
        <v>30367624</v>
      </c>
      <c r="G261" s="356"/>
      <c r="H261" s="357"/>
      <c r="I261" s="358"/>
      <c r="J261" s="358"/>
      <c r="K261" s="359"/>
      <c r="L261" s="325"/>
    </row>
    <row r="262" spans="1:12" s="326" customFormat="1" ht="15" hidden="1">
      <c r="A262" s="407"/>
      <c r="B262" s="116" t="s">
        <v>277</v>
      </c>
      <c r="C262" s="296"/>
      <c r="D262" s="309"/>
      <c r="E262" s="323" t="s">
        <v>75</v>
      </c>
      <c r="F262" s="125">
        <v>11555597</v>
      </c>
      <c r="G262" s="356"/>
      <c r="H262" s="357"/>
      <c r="I262" s="358"/>
      <c r="J262" s="358"/>
      <c r="K262" s="359"/>
      <c r="L262" s="325"/>
    </row>
    <row r="263" spans="1:12" s="326" customFormat="1" ht="15" hidden="1">
      <c r="A263" s="407"/>
      <c r="B263" s="116" t="s">
        <v>93</v>
      </c>
      <c r="C263" s="296"/>
      <c r="D263" s="309"/>
      <c r="E263" s="323" t="s">
        <v>75</v>
      </c>
      <c r="F263" s="125">
        <v>1459100</v>
      </c>
      <c r="G263" s="356"/>
      <c r="H263" s="357"/>
      <c r="I263" s="358"/>
      <c r="J263" s="358"/>
      <c r="K263" s="359"/>
      <c r="L263" s="325"/>
    </row>
    <row r="264" spans="1:12" s="326" customFormat="1" ht="30" hidden="1">
      <c r="A264" s="479" t="s">
        <v>662</v>
      </c>
      <c r="B264" s="116" t="s">
        <v>282</v>
      </c>
      <c r="C264" s="296">
        <v>0.434</v>
      </c>
      <c r="D264" s="309"/>
      <c r="E264" s="333"/>
      <c r="F264" s="125">
        <f>F265+F267+F266</f>
        <v>15996738</v>
      </c>
      <c r="G264" s="356"/>
      <c r="H264" s="357"/>
      <c r="I264" s="358"/>
      <c r="J264" s="358"/>
      <c r="K264" s="359"/>
      <c r="L264" s="325"/>
    </row>
    <row r="265" spans="1:12" s="326" customFormat="1" ht="15" hidden="1">
      <c r="A265" s="479"/>
      <c r="B265" s="254" t="s">
        <v>276</v>
      </c>
      <c r="C265" s="296"/>
      <c r="D265" s="309"/>
      <c r="E265" s="323" t="s">
        <v>74</v>
      </c>
      <c r="F265" s="255">
        <v>5108180</v>
      </c>
      <c r="G265" s="356"/>
      <c r="H265" s="357"/>
      <c r="I265" s="358"/>
      <c r="J265" s="358"/>
      <c r="K265" s="359"/>
      <c r="L265" s="325"/>
    </row>
    <row r="266" spans="1:12" s="326" customFormat="1" ht="15" hidden="1">
      <c r="A266" s="479"/>
      <c r="B266" s="116" t="s">
        <v>277</v>
      </c>
      <c r="C266" s="296"/>
      <c r="D266" s="309"/>
      <c r="E266" s="323" t="s">
        <v>75</v>
      </c>
      <c r="F266" s="125">
        <v>10404443</v>
      </c>
      <c r="G266" s="356"/>
      <c r="H266" s="357"/>
      <c r="I266" s="358"/>
      <c r="J266" s="358"/>
      <c r="K266" s="359"/>
      <c r="L266" s="325"/>
    </row>
    <row r="267" spans="1:12" s="326" customFormat="1" ht="15" hidden="1">
      <c r="A267" s="479"/>
      <c r="B267" s="116" t="s">
        <v>93</v>
      </c>
      <c r="C267" s="296"/>
      <c r="D267" s="309"/>
      <c r="E267" s="323" t="s">
        <v>75</v>
      </c>
      <c r="F267" s="125">
        <v>484115</v>
      </c>
      <c r="G267" s="356"/>
      <c r="H267" s="357"/>
      <c r="I267" s="358"/>
      <c r="J267" s="358"/>
      <c r="K267" s="359"/>
      <c r="L267" s="325"/>
    </row>
    <row r="268" spans="1:12" s="326" customFormat="1" ht="45" hidden="1">
      <c r="A268" s="479" t="s">
        <v>663</v>
      </c>
      <c r="B268" s="117" t="s">
        <v>283</v>
      </c>
      <c r="C268" s="296">
        <v>1.6143</v>
      </c>
      <c r="D268" s="309"/>
      <c r="E268" s="333"/>
      <c r="F268" s="125">
        <f>F269+F271+F270</f>
        <v>21479672</v>
      </c>
      <c r="G268" s="356"/>
      <c r="H268" s="357"/>
      <c r="I268" s="358"/>
      <c r="J268" s="358"/>
      <c r="K268" s="359"/>
      <c r="L268" s="325"/>
    </row>
    <row r="269" spans="1:12" s="326" customFormat="1" ht="15" hidden="1">
      <c r="A269" s="479"/>
      <c r="B269" s="254" t="s">
        <v>276</v>
      </c>
      <c r="C269" s="296"/>
      <c r="D269" s="309"/>
      <c r="E269" s="323" t="s">
        <v>74</v>
      </c>
      <c r="F269" s="255">
        <v>15035770</v>
      </c>
      <c r="G269" s="356"/>
      <c r="H269" s="357"/>
      <c r="I269" s="358"/>
      <c r="J269" s="358"/>
      <c r="K269" s="359"/>
      <c r="L269" s="325"/>
    </row>
    <row r="270" spans="1:12" s="326" customFormat="1" ht="15" hidden="1">
      <c r="A270" s="479"/>
      <c r="B270" s="116" t="s">
        <v>277</v>
      </c>
      <c r="C270" s="296"/>
      <c r="D270" s="309"/>
      <c r="E270" s="323" t="s">
        <v>75</v>
      </c>
      <c r="F270" s="125">
        <v>6106784</v>
      </c>
      <c r="G270" s="356"/>
      <c r="H270" s="357"/>
      <c r="I270" s="358"/>
      <c r="J270" s="358"/>
      <c r="K270" s="359"/>
      <c r="L270" s="325"/>
    </row>
    <row r="271" spans="1:12" s="326" customFormat="1" ht="15" hidden="1">
      <c r="A271" s="480"/>
      <c r="B271" s="116" t="s">
        <v>93</v>
      </c>
      <c r="C271" s="296"/>
      <c r="D271" s="309"/>
      <c r="E271" s="323" t="s">
        <v>75</v>
      </c>
      <c r="F271" s="125">
        <v>337118</v>
      </c>
      <c r="G271" s="356"/>
      <c r="H271" s="357"/>
      <c r="I271" s="358"/>
      <c r="J271" s="358"/>
      <c r="K271" s="359"/>
      <c r="L271" s="325"/>
    </row>
    <row r="272" spans="1:12" s="326" customFormat="1" ht="45" hidden="1">
      <c r="A272" s="406" t="s">
        <v>664</v>
      </c>
      <c r="B272" s="227" t="s">
        <v>284</v>
      </c>
      <c r="C272" s="296">
        <v>3.2</v>
      </c>
      <c r="D272" s="309"/>
      <c r="E272" s="333"/>
      <c r="F272" s="125">
        <f>F273+F275+F274</f>
        <v>62089215</v>
      </c>
      <c r="G272" s="356"/>
      <c r="H272" s="357"/>
      <c r="I272" s="358"/>
      <c r="J272" s="358"/>
      <c r="K272" s="359"/>
      <c r="L272" s="325"/>
    </row>
    <row r="273" spans="1:12" s="326" customFormat="1" ht="15" hidden="1">
      <c r="A273" s="407"/>
      <c r="B273" s="254" t="s">
        <v>276</v>
      </c>
      <c r="C273" s="296"/>
      <c r="D273" s="309"/>
      <c r="E273" s="323" t="s">
        <v>74</v>
      </c>
      <c r="F273" s="255">
        <v>37664000</v>
      </c>
      <c r="G273" s="356"/>
      <c r="H273" s="357"/>
      <c r="I273" s="358"/>
      <c r="J273" s="358"/>
      <c r="K273" s="359"/>
      <c r="L273" s="325"/>
    </row>
    <row r="274" spans="1:12" s="326" customFormat="1" ht="15" hidden="1">
      <c r="A274" s="407"/>
      <c r="B274" s="116" t="s">
        <v>277</v>
      </c>
      <c r="C274" s="296"/>
      <c r="D274" s="309"/>
      <c r="E274" s="323" t="s">
        <v>75</v>
      </c>
      <c r="F274" s="125">
        <v>23410304</v>
      </c>
      <c r="G274" s="356"/>
      <c r="H274" s="357"/>
      <c r="I274" s="358"/>
      <c r="J274" s="358"/>
      <c r="K274" s="359"/>
      <c r="L274" s="325"/>
    </row>
    <row r="275" spans="1:12" s="326" customFormat="1" ht="15" hidden="1">
      <c r="A275" s="408"/>
      <c r="B275" s="116" t="s">
        <v>93</v>
      </c>
      <c r="C275" s="296"/>
      <c r="D275" s="309"/>
      <c r="E275" s="323" t="s">
        <v>75</v>
      </c>
      <c r="F275" s="125">
        <v>1014911</v>
      </c>
      <c r="G275" s="356"/>
      <c r="H275" s="357"/>
      <c r="I275" s="358"/>
      <c r="J275" s="358"/>
      <c r="K275" s="359"/>
      <c r="L275" s="325"/>
    </row>
    <row r="276" spans="1:12" s="326" customFormat="1" ht="60" hidden="1">
      <c r="A276" s="505" t="s">
        <v>665</v>
      </c>
      <c r="B276" s="226" t="s">
        <v>285</v>
      </c>
      <c r="C276" s="296">
        <v>5.646</v>
      </c>
      <c r="D276" s="309"/>
      <c r="E276" s="333"/>
      <c r="F276" s="125">
        <f>F277+F279+F278</f>
        <v>92095696</v>
      </c>
      <c r="G276" s="356"/>
      <c r="H276" s="357"/>
      <c r="I276" s="358"/>
      <c r="J276" s="358"/>
      <c r="K276" s="359"/>
      <c r="L276" s="325"/>
    </row>
    <row r="277" spans="1:12" s="326" customFormat="1" ht="15" hidden="1">
      <c r="A277" s="479"/>
      <c r="B277" s="254" t="s">
        <v>276</v>
      </c>
      <c r="C277" s="296"/>
      <c r="D277" s="309"/>
      <c r="E277" s="323" t="s">
        <v>74</v>
      </c>
      <c r="F277" s="255">
        <v>64466987</v>
      </c>
      <c r="G277" s="356"/>
      <c r="H277" s="357"/>
      <c r="I277" s="358"/>
      <c r="J277" s="358"/>
      <c r="K277" s="359"/>
      <c r="L277" s="325"/>
    </row>
    <row r="278" spans="1:12" s="326" customFormat="1" ht="15" hidden="1">
      <c r="A278" s="479"/>
      <c r="B278" s="116" t="s">
        <v>277</v>
      </c>
      <c r="C278" s="296"/>
      <c r="D278" s="309"/>
      <c r="E278" s="323" t="s">
        <v>75</v>
      </c>
      <c r="F278" s="125">
        <v>26233845</v>
      </c>
      <c r="G278" s="356"/>
      <c r="H278" s="357"/>
      <c r="I278" s="358"/>
      <c r="J278" s="358"/>
      <c r="K278" s="359"/>
      <c r="L278" s="325"/>
    </row>
    <row r="279" spans="1:12" s="326" customFormat="1" ht="13.5" customHeight="1" hidden="1">
      <c r="A279" s="480"/>
      <c r="B279" s="116" t="s">
        <v>93</v>
      </c>
      <c r="C279" s="427">
        <v>5.053</v>
      </c>
      <c r="D279" s="432"/>
      <c r="E279" s="323" t="s">
        <v>75</v>
      </c>
      <c r="F279" s="125">
        <v>1394864</v>
      </c>
      <c r="G279" s="356"/>
      <c r="H279" s="357"/>
      <c r="I279" s="358"/>
      <c r="J279" s="358"/>
      <c r="K279" s="359"/>
      <c r="L279" s="325"/>
    </row>
    <row r="280" spans="1:12" s="326" customFormat="1" ht="45" hidden="1">
      <c r="A280" s="406" t="s">
        <v>666</v>
      </c>
      <c r="B280" s="226" t="s">
        <v>286</v>
      </c>
      <c r="C280" s="428"/>
      <c r="D280" s="433"/>
      <c r="E280" s="305"/>
      <c r="F280" s="125">
        <f>F281+F283+F282</f>
        <v>100746032</v>
      </c>
      <c r="G280" s="356"/>
      <c r="H280" s="357"/>
      <c r="I280" s="358"/>
      <c r="J280" s="358"/>
      <c r="K280" s="359"/>
      <c r="L280" s="325"/>
    </row>
    <row r="281" spans="1:12" s="326" customFormat="1" ht="15" hidden="1">
      <c r="A281" s="407"/>
      <c r="B281" s="254" t="s">
        <v>276</v>
      </c>
      <c r="C281" s="428"/>
      <c r="D281" s="433"/>
      <c r="E281" s="323" t="s">
        <v>74</v>
      </c>
      <c r="F281" s="255">
        <v>59473810</v>
      </c>
      <c r="G281" s="356"/>
      <c r="H281" s="357"/>
      <c r="I281" s="358"/>
      <c r="J281" s="358"/>
      <c r="K281" s="359"/>
      <c r="L281" s="325"/>
    </row>
    <row r="282" spans="1:12" s="326" customFormat="1" ht="13.5" customHeight="1" hidden="1">
      <c r="A282" s="407"/>
      <c r="B282" s="116" t="s">
        <v>277</v>
      </c>
      <c r="C282" s="429"/>
      <c r="D282" s="434"/>
      <c r="E282" s="323" t="s">
        <v>75</v>
      </c>
      <c r="F282" s="125">
        <v>39754345</v>
      </c>
      <c r="G282" s="356"/>
      <c r="H282" s="357"/>
      <c r="I282" s="358"/>
      <c r="J282" s="358"/>
      <c r="K282" s="359"/>
      <c r="L282" s="325"/>
    </row>
    <row r="283" spans="1:12" s="326" customFormat="1" ht="13.5" customHeight="1" hidden="1">
      <c r="A283" s="408"/>
      <c r="B283" s="116" t="s">
        <v>93</v>
      </c>
      <c r="C283" s="313"/>
      <c r="D283" s="316"/>
      <c r="E283" s="323" t="s">
        <v>75</v>
      </c>
      <c r="F283" s="125">
        <v>1517877</v>
      </c>
      <c r="G283" s="356"/>
      <c r="H283" s="357"/>
      <c r="I283" s="358"/>
      <c r="J283" s="358"/>
      <c r="K283" s="359"/>
      <c r="L283" s="325"/>
    </row>
    <row r="284" spans="1:12" s="326" customFormat="1" ht="15" hidden="1">
      <c r="A284" s="506" t="s">
        <v>73</v>
      </c>
      <c r="B284" s="470" t="s">
        <v>103</v>
      </c>
      <c r="C284" s="427">
        <f>SUM(C288:C299)</f>
        <v>0</v>
      </c>
      <c r="D284" s="403"/>
      <c r="E284" s="81" t="s">
        <v>34</v>
      </c>
      <c r="F284" s="257">
        <f>SUM(F285:F287)</f>
        <v>252019103</v>
      </c>
      <c r="G284" s="356"/>
      <c r="H284" s="357"/>
      <c r="I284" s="358"/>
      <c r="J284" s="358"/>
      <c r="K284" s="359"/>
      <c r="L284" s="325"/>
    </row>
    <row r="285" spans="1:12" s="326" customFormat="1" ht="15" hidden="1">
      <c r="A285" s="507"/>
      <c r="B285" s="471"/>
      <c r="C285" s="428"/>
      <c r="D285" s="404"/>
      <c r="E285" s="81" t="s">
        <v>74</v>
      </c>
      <c r="F285" s="257">
        <f>SUM(F297,F293,F289,F305)</f>
        <v>124950444</v>
      </c>
      <c r="G285" s="356"/>
      <c r="H285" s="357"/>
      <c r="I285" s="358"/>
      <c r="J285" s="358"/>
      <c r="K285" s="359"/>
      <c r="L285" s="325"/>
    </row>
    <row r="286" spans="1:12" s="326" customFormat="1" ht="15" hidden="1">
      <c r="A286" s="507"/>
      <c r="B286" s="471"/>
      <c r="C286" s="428"/>
      <c r="D286" s="404"/>
      <c r="E286" s="81" t="s">
        <v>75</v>
      </c>
      <c r="F286" s="257">
        <f>SUM(F298,F294,F290,F306)</f>
        <v>125000000</v>
      </c>
      <c r="G286" s="356"/>
      <c r="H286" s="357"/>
      <c r="I286" s="358"/>
      <c r="J286" s="358"/>
      <c r="K286" s="359"/>
      <c r="L286" s="325"/>
    </row>
    <row r="287" spans="1:12" s="326" customFormat="1" ht="15" hidden="1">
      <c r="A287" s="508"/>
      <c r="B287" s="472"/>
      <c r="C287" s="429"/>
      <c r="D287" s="405"/>
      <c r="E287" s="81" t="s">
        <v>18</v>
      </c>
      <c r="F287" s="164">
        <f>SUM(F299,F295,F291)</f>
        <v>2068659</v>
      </c>
      <c r="G287" s="356"/>
      <c r="H287" s="357"/>
      <c r="I287" s="358"/>
      <c r="J287" s="358"/>
      <c r="K287" s="359"/>
      <c r="L287" s="325"/>
    </row>
    <row r="288" spans="1:12" s="326" customFormat="1" ht="13.5" customHeight="1" hidden="1">
      <c r="A288" s="406" t="s">
        <v>667</v>
      </c>
      <c r="B288" s="476" t="s">
        <v>443</v>
      </c>
      <c r="C288" s="375"/>
      <c r="D288" s="378"/>
      <c r="E288" s="81" t="s">
        <v>34</v>
      </c>
      <c r="F288" s="164">
        <f>SUM(F289:F291)</f>
        <v>41046597</v>
      </c>
      <c r="G288" s="356"/>
      <c r="H288" s="357"/>
      <c r="I288" s="358"/>
      <c r="J288" s="358"/>
      <c r="K288" s="359"/>
      <c r="L288" s="325"/>
    </row>
    <row r="289" spans="1:12" s="326" customFormat="1" ht="15" hidden="1">
      <c r="A289" s="407"/>
      <c r="B289" s="477"/>
      <c r="C289" s="376"/>
      <c r="D289" s="379"/>
      <c r="E289" s="305" t="s">
        <v>74</v>
      </c>
      <c r="F289" s="250">
        <v>28200000</v>
      </c>
      <c r="G289" s="356"/>
      <c r="H289" s="357"/>
      <c r="I289" s="358"/>
      <c r="J289" s="358"/>
      <c r="K289" s="359"/>
      <c r="L289" s="325"/>
    </row>
    <row r="290" spans="1:12" s="326" customFormat="1" ht="15" hidden="1">
      <c r="A290" s="407"/>
      <c r="B290" s="477"/>
      <c r="C290" s="376"/>
      <c r="D290" s="379"/>
      <c r="E290" s="305" t="s">
        <v>75</v>
      </c>
      <c r="F290" s="250">
        <v>12204267</v>
      </c>
      <c r="G290" s="356"/>
      <c r="H290" s="357"/>
      <c r="I290" s="358"/>
      <c r="J290" s="358"/>
      <c r="K290" s="359"/>
      <c r="L290" s="325"/>
    </row>
    <row r="291" spans="1:12" s="326" customFormat="1" ht="15" hidden="1">
      <c r="A291" s="408"/>
      <c r="B291" s="478"/>
      <c r="C291" s="377"/>
      <c r="D291" s="380"/>
      <c r="E291" s="305" t="s">
        <v>18</v>
      </c>
      <c r="F291" s="237">
        <v>642330</v>
      </c>
      <c r="G291" s="356"/>
      <c r="H291" s="357"/>
      <c r="I291" s="358"/>
      <c r="J291" s="358"/>
      <c r="K291" s="359"/>
      <c r="L291" s="325"/>
    </row>
    <row r="292" spans="1:12" s="326" customFormat="1" ht="13.5" customHeight="1" hidden="1">
      <c r="A292" s="406" t="s">
        <v>668</v>
      </c>
      <c r="B292" s="473" t="s">
        <v>444</v>
      </c>
      <c r="C292" s="375"/>
      <c r="D292" s="378"/>
      <c r="E292" s="81" t="s">
        <v>34</v>
      </c>
      <c r="F292" s="164">
        <f>SUM(F293:F295)</f>
        <v>8680680</v>
      </c>
      <c r="G292" s="356"/>
      <c r="H292" s="357"/>
      <c r="I292" s="358"/>
      <c r="J292" s="358"/>
      <c r="K292" s="359"/>
      <c r="L292" s="325"/>
    </row>
    <row r="293" spans="1:12" s="326" customFormat="1" ht="15" hidden="1">
      <c r="A293" s="407"/>
      <c r="B293" s="474"/>
      <c r="C293" s="376"/>
      <c r="D293" s="379"/>
      <c r="E293" s="305" t="s">
        <v>74</v>
      </c>
      <c r="F293" s="250">
        <v>4950000</v>
      </c>
      <c r="G293" s="356"/>
      <c r="H293" s="357"/>
      <c r="I293" s="358"/>
      <c r="J293" s="358"/>
      <c r="K293" s="359"/>
      <c r="L293" s="325"/>
    </row>
    <row r="294" spans="1:12" s="326" customFormat="1" ht="15" hidden="1">
      <c r="A294" s="407"/>
      <c r="B294" s="474"/>
      <c r="C294" s="376"/>
      <c r="D294" s="379"/>
      <c r="E294" s="305" t="s">
        <v>75</v>
      </c>
      <c r="F294" s="250">
        <v>3544146</v>
      </c>
      <c r="G294" s="356"/>
      <c r="H294" s="357"/>
      <c r="I294" s="358"/>
      <c r="J294" s="358"/>
      <c r="K294" s="359"/>
      <c r="L294" s="325"/>
    </row>
    <row r="295" spans="1:12" s="326" customFormat="1" ht="15" hidden="1">
      <c r="A295" s="408"/>
      <c r="B295" s="475"/>
      <c r="C295" s="377"/>
      <c r="D295" s="380"/>
      <c r="E295" s="305" t="s">
        <v>18</v>
      </c>
      <c r="F295" s="237">
        <v>186534</v>
      </c>
      <c r="G295" s="356"/>
      <c r="H295" s="357"/>
      <c r="I295" s="358"/>
      <c r="J295" s="358"/>
      <c r="K295" s="359"/>
      <c r="L295" s="325"/>
    </row>
    <row r="296" spans="1:12" s="326" customFormat="1" ht="13.5" customHeight="1" hidden="1">
      <c r="A296" s="406" t="s">
        <v>669</v>
      </c>
      <c r="B296" s="473" t="s">
        <v>445</v>
      </c>
      <c r="C296" s="375"/>
      <c r="D296" s="378"/>
      <c r="E296" s="81" t="s">
        <v>34</v>
      </c>
      <c r="F296" s="164">
        <f>SUM(F297:F299)</f>
        <v>74975891</v>
      </c>
      <c r="G296" s="356"/>
      <c r="H296" s="357"/>
      <c r="I296" s="358"/>
      <c r="J296" s="358"/>
      <c r="K296" s="359"/>
      <c r="L296" s="325"/>
    </row>
    <row r="297" spans="1:12" s="326" customFormat="1" ht="15" hidden="1">
      <c r="A297" s="407"/>
      <c r="B297" s="474"/>
      <c r="C297" s="376"/>
      <c r="D297" s="379"/>
      <c r="E297" s="305" t="s">
        <v>74</v>
      </c>
      <c r="F297" s="250">
        <v>50180000</v>
      </c>
      <c r="G297" s="356"/>
      <c r="H297" s="357"/>
      <c r="I297" s="358"/>
      <c r="J297" s="358"/>
      <c r="K297" s="359"/>
      <c r="L297" s="325"/>
    </row>
    <row r="298" spans="1:12" s="326" customFormat="1" ht="15" hidden="1">
      <c r="A298" s="407"/>
      <c r="B298" s="474"/>
      <c r="C298" s="376"/>
      <c r="D298" s="379"/>
      <c r="E298" s="305" t="s">
        <v>75</v>
      </c>
      <c r="F298" s="250">
        <v>23556096</v>
      </c>
      <c r="G298" s="356"/>
      <c r="H298" s="357"/>
      <c r="I298" s="358"/>
      <c r="J298" s="358"/>
      <c r="K298" s="359"/>
      <c r="L298" s="325"/>
    </row>
    <row r="299" spans="1:12" s="326" customFormat="1" ht="15" hidden="1">
      <c r="A299" s="408"/>
      <c r="B299" s="475"/>
      <c r="C299" s="377"/>
      <c r="D299" s="380"/>
      <c r="E299" s="305" t="s">
        <v>18</v>
      </c>
      <c r="F299" s="125">
        <v>1239795</v>
      </c>
      <c r="G299" s="356"/>
      <c r="H299" s="357"/>
      <c r="I299" s="358"/>
      <c r="J299" s="358"/>
      <c r="K299" s="359"/>
      <c r="L299" s="325"/>
    </row>
    <row r="300" spans="1:12" s="326" customFormat="1" ht="13.5" customHeight="1" hidden="1">
      <c r="A300" s="406" t="s">
        <v>442</v>
      </c>
      <c r="B300" s="473"/>
      <c r="C300" s="375"/>
      <c r="D300" s="378"/>
      <c r="E300" s="81" t="s">
        <v>34</v>
      </c>
      <c r="F300" s="164">
        <f>SUM(F301:F303)</f>
        <v>0</v>
      </c>
      <c r="G300" s="356"/>
      <c r="H300" s="357"/>
      <c r="I300" s="358"/>
      <c r="J300" s="358"/>
      <c r="K300" s="359"/>
      <c r="L300" s="325"/>
    </row>
    <row r="301" spans="1:12" s="326" customFormat="1" ht="13.5" customHeight="1" hidden="1">
      <c r="A301" s="407"/>
      <c r="B301" s="474"/>
      <c r="C301" s="376"/>
      <c r="D301" s="379"/>
      <c r="E301" s="305" t="s">
        <v>74</v>
      </c>
      <c r="F301" s="250"/>
      <c r="G301" s="356"/>
      <c r="H301" s="357"/>
      <c r="I301" s="358"/>
      <c r="J301" s="358"/>
      <c r="K301" s="359"/>
      <c r="L301" s="325"/>
    </row>
    <row r="302" spans="1:12" s="326" customFormat="1" ht="13.5" customHeight="1" hidden="1">
      <c r="A302" s="407"/>
      <c r="B302" s="474"/>
      <c r="C302" s="376"/>
      <c r="D302" s="379"/>
      <c r="E302" s="305" t="s">
        <v>75</v>
      </c>
      <c r="F302" s="250"/>
      <c r="G302" s="356"/>
      <c r="H302" s="357"/>
      <c r="I302" s="358"/>
      <c r="J302" s="358"/>
      <c r="K302" s="359"/>
      <c r="L302" s="325"/>
    </row>
    <row r="303" spans="1:12" s="326" customFormat="1" ht="13.5" customHeight="1" hidden="1">
      <c r="A303" s="408"/>
      <c r="B303" s="475"/>
      <c r="C303" s="377"/>
      <c r="D303" s="380"/>
      <c r="E303" s="305" t="s">
        <v>18</v>
      </c>
      <c r="F303" s="125"/>
      <c r="G303" s="356"/>
      <c r="H303" s="357"/>
      <c r="I303" s="358"/>
      <c r="J303" s="358"/>
      <c r="K303" s="359"/>
      <c r="L303" s="325"/>
    </row>
    <row r="304" spans="1:12" s="326" customFormat="1" ht="15" hidden="1">
      <c r="A304" s="406" t="s">
        <v>670</v>
      </c>
      <c r="B304" s="493" t="s">
        <v>86</v>
      </c>
      <c r="C304" s="496"/>
      <c r="D304" s="496"/>
      <c r="E304" s="81" t="s">
        <v>34</v>
      </c>
      <c r="F304" s="164">
        <f>SUM(F305:F306)</f>
        <v>127315935</v>
      </c>
      <c r="G304" s="356"/>
      <c r="H304" s="357"/>
      <c r="I304" s="358"/>
      <c r="J304" s="358"/>
      <c r="K304" s="359"/>
      <c r="L304" s="325"/>
    </row>
    <row r="305" spans="1:12" s="326" customFormat="1" ht="15" hidden="1">
      <c r="A305" s="407"/>
      <c r="B305" s="494"/>
      <c r="C305" s="497"/>
      <c r="D305" s="497"/>
      <c r="E305" s="305" t="s">
        <v>74</v>
      </c>
      <c r="F305" s="250">
        <v>41620444</v>
      </c>
      <c r="G305" s="356"/>
      <c r="H305" s="357"/>
      <c r="I305" s="358"/>
      <c r="J305" s="358"/>
      <c r="K305" s="359"/>
      <c r="L305" s="325"/>
    </row>
    <row r="306" spans="1:12" s="326" customFormat="1" ht="15" hidden="1">
      <c r="A306" s="408"/>
      <c r="B306" s="495"/>
      <c r="C306" s="498"/>
      <c r="D306" s="498"/>
      <c r="E306" s="305" t="s">
        <v>75</v>
      </c>
      <c r="F306" s="250">
        <v>85695491</v>
      </c>
      <c r="G306" s="356"/>
      <c r="H306" s="357"/>
      <c r="I306" s="358"/>
      <c r="J306" s="358"/>
      <c r="K306" s="359"/>
      <c r="L306" s="325"/>
    </row>
    <row r="307" spans="1:12" s="326" customFormat="1" ht="13.5" customHeight="1" hidden="1">
      <c r="A307" s="484" t="s">
        <v>0</v>
      </c>
      <c r="B307" s="499" t="s">
        <v>287</v>
      </c>
      <c r="C307" s="502"/>
      <c r="D307" s="432"/>
      <c r="E307" s="333" t="s">
        <v>96</v>
      </c>
      <c r="F307" s="165">
        <f>SUM(F308:F309)</f>
        <v>7080060.930000001</v>
      </c>
      <c r="G307" s="356"/>
      <c r="H307" s="357"/>
      <c r="I307" s="358"/>
      <c r="J307" s="358"/>
      <c r="K307" s="359"/>
      <c r="L307" s="325"/>
    </row>
    <row r="308" spans="1:12" s="326" customFormat="1" ht="15" hidden="1">
      <c r="A308" s="485"/>
      <c r="B308" s="500"/>
      <c r="C308" s="503"/>
      <c r="D308" s="433"/>
      <c r="E308" s="333" t="s">
        <v>74</v>
      </c>
      <c r="F308" s="165">
        <f>F311</f>
        <v>0</v>
      </c>
      <c r="G308" s="356"/>
      <c r="H308" s="357"/>
      <c r="I308" s="358"/>
      <c r="J308" s="358"/>
      <c r="K308" s="359"/>
      <c r="L308" s="325"/>
    </row>
    <row r="309" spans="1:12" s="326" customFormat="1" ht="15" hidden="1">
      <c r="A309" s="486"/>
      <c r="B309" s="501"/>
      <c r="C309" s="504"/>
      <c r="D309" s="434"/>
      <c r="E309" s="333" t="s">
        <v>75</v>
      </c>
      <c r="F309" s="165">
        <f>F312</f>
        <v>7080060.930000001</v>
      </c>
      <c r="G309" s="356"/>
      <c r="H309" s="357"/>
      <c r="I309" s="358"/>
      <c r="J309" s="358"/>
      <c r="K309" s="359"/>
      <c r="L309" s="325"/>
    </row>
    <row r="310" spans="1:12" s="326" customFormat="1" ht="15" hidden="1">
      <c r="A310" s="484" t="s">
        <v>247</v>
      </c>
      <c r="B310" s="487" t="s">
        <v>97</v>
      </c>
      <c r="C310" s="490">
        <f>SUM(C313:C325)</f>
        <v>14.925</v>
      </c>
      <c r="D310" s="432"/>
      <c r="E310" s="333" t="s">
        <v>34</v>
      </c>
      <c r="F310" s="165">
        <f>SUM(F311:F312)</f>
        <v>7080060.930000001</v>
      </c>
      <c r="G310" s="356"/>
      <c r="H310" s="357"/>
      <c r="I310" s="358"/>
      <c r="J310" s="358"/>
      <c r="K310" s="359"/>
      <c r="L310" s="325"/>
    </row>
    <row r="311" spans="1:12" s="326" customFormat="1" ht="15" hidden="1">
      <c r="A311" s="485"/>
      <c r="B311" s="488"/>
      <c r="C311" s="491"/>
      <c r="D311" s="433"/>
      <c r="E311" s="333" t="s">
        <v>74</v>
      </c>
      <c r="F311" s="165">
        <f>SUM(F314,F318,F323)</f>
        <v>0</v>
      </c>
      <c r="G311" s="356"/>
      <c r="H311" s="357"/>
      <c r="I311" s="358"/>
      <c r="J311" s="358"/>
      <c r="K311" s="359"/>
      <c r="L311" s="325"/>
    </row>
    <row r="312" spans="1:12" s="326" customFormat="1" ht="15" hidden="1">
      <c r="A312" s="486"/>
      <c r="B312" s="489"/>
      <c r="C312" s="492"/>
      <c r="D312" s="434"/>
      <c r="E312" s="333" t="s">
        <v>75</v>
      </c>
      <c r="F312" s="165">
        <f>SUM(F315,F316,F319,F320,F321,F324,F325)</f>
        <v>7080060.930000001</v>
      </c>
      <c r="G312" s="356"/>
      <c r="H312" s="357"/>
      <c r="I312" s="358"/>
      <c r="J312" s="358"/>
      <c r="K312" s="359"/>
      <c r="L312" s="325"/>
    </row>
    <row r="313" spans="1:12" s="326" customFormat="1" ht="45" hidden="1">
      <c r="A313" s="432" t="s">
        <v>671</v>
      </c>
      <c r="B313" s="335" t="s">
        <v>288</v>
      </c>
      <c r="C313" s="298">
        <v>4.925</v>
      </c>
      <c r="D313" s="310"/>
      <c r="E313" s="333"/>
      <c r="F313" s="125">
        <f>F315+F316+F314</f>
        <v>4067485.66</v>
      </c>
      <c r="G313" s="356"/>
      <c r="H313" s="357"/>
      <c r="I313" s="358"/>
      <c r="J313" s="358"/>
      <c r="K313" s="359"/>
      <c r="L313" s="325"/>
    </row>
    <row r="314" spans="1:12" s="326" customFormat="1" ht="15" hidden="1">
      <c r="A314" s="433"/>
      <c r="B314" s="254" t="s">
        <v>276</v>
      </c>
      <c r="C314" s="298"/>
      <c r="D314" s="310"/>
      <c r="E314" s="323" t="s">
        <v>74</v>
      </c>
      <c r="F314" s="125"/>
      <c r="G314" s="356"/>
      <c r="H314" s="357"/>
      <c r="I314" s="358"/>
      <c r="J314" s="358"/>
      <c r="K314" s="359"/>
      <c r="L314" s="325"/>
    </row>
    <row r="315" spans="1:12" s="326" customFormat="1" ht="15" hidden="1">
      <c r="A315" s="433"/>
      <c r="B315" s="116" t="s">
        <v>277</v>
      </c>
      <c r="C315" s="298"/>
      <c r="D315" s="310"/>
      <c r="E315" s="305" t="s">
        <v>75</v>
      </c>
      <c r="F315" s="125">
        <v>3769833.79</v>
      </c>
      <c r="G315" s="356"/>
      <c r="H315" s="357"/>
      <c r="I315" s="358"/>
      <c r="J315" s="358"/>
      <c r="K315" s="359"/>
      <c r="L315" s="325"/>
    </row>
    <row r="316" spans="1:12" s="326" customFormat="1" ht="15" hidden="1">
      <c r="A316" s="434"/>
      <c r="B316" s="116" t="s">
        <v>93</v>
      </c>
      <c r="C316" s="298"/>
      <c r="D316" s="310"/>
      <c r="E316" s="305" t="s">
        <v>75</v>
      </c>
      <c r="F316" s="125">
        <f>197651.87+100000</f>
        <v>297651.87</v>
      </c>
      <c r="G316" s="356"/>
      <c r="H316" s="357"/>
      <c r="I316" s="358"/>
      <c r="J316" s="358"/>
      <c r="K316" s="359"/>
      <c r="L316" s="325"/>
    </row>
    <row r="317" spans="1:12" s="326" customFormat="1" ht="45" hidden="1">
      <c r="A317" s="432" t="s">
        <v>672</v>
      </c>
      <c r="B317" s="116" t="s">
        <v>289</v>
      </c>
      <c r="C317" s="298">
        <v>5</v>
      </c>
      <c r="D317" s="310"/>
      <c r="E317" s="333"/>
      <c r="F317" s="125">
        <f>F319+F321+F320+F318</f>
        <v>1652678.8599999999</v>
      </c>
      <c r="G317" s="356"/>
      <c r="H317" s="357"/>
      <c r="I317" s="358"/>
      <c r="J317" s="358"/>
      <c r="K317" s="359"/>
      <c r="L317" s="325"/>
    </row>
    <row r="318" spans="1:12" s="326" customFormat="1" ht="15" hidden="1">
      <c r="A318" s="433"/>
      <c r="B318" s="254" t="s">
        <v>276</v>
      </c>
      <c r="C318" s="298"/>
      <c r="D318" s="310"/>
      <c r="E318" s="323" t="s">
        <v>74</v>
      </c>
      <c r="F318" s="125"/>
      <c r="G318" s="356"/>
      <c r="H318" s="357"/>
      <c r="I318" s="358"/>
      <c r="J318" s="358"/>
      <c r="K318" s="359"/>
      <c r="L318" s="325"/>
    </row>
    <row r="319" spans="1:12" s="326" customFormat="1" ht="15" hidden="1">
      <c r="A319" s="433"/>
      <c r="B319" s="116" t="s">
        <v>277</v>
      </c>
      <c r="C319" s="298"/>
      <c r="D319" s="310"/>
      <c r="E319" s="305" t="s">
        <v>75</v>
      </c>
      <c r="F319" s="125">
        <v>665162.86</v>
      </c>
      <c r="G319" s="356"/>
      <c r="H319" s="357"/>
      <c r="I319" s="358"/>
      <c r="J319" s="358"/>
      <c r="K319" s="359"/>
      <c r="L319" s="325"/>
    </row>
    <row r="320" spans="1:12" s="326" customFormat="1" ht="15" hidden="1">
      <c r="A320" s="433"/>
      <c r="B320" s="226" t="s">
        <v>93</v>
      </c>
      <c r="C320" s="298"/>
      <c r="D320" s="310"/>
      <c r="E320" s="305" t="s">
        <v>75</v>
      </c>
      <c r="F320" s="125">
        <v>694216</v>
      </c>
      <c r="G320" s="356"/>
      <c r="H320" s="357"/>
      <c r="I320" s="358"/>
      <c r="J320" s="358"/>
      <c r="K320" s="359"/>
      <c r="L320" s="325"/>
    </row>
    <row r="321" spans="1:12" s="326" customFormat="1" ht="15" hidden="1">
      <c r="A321" s="434"/>
      <c r="B321" s="116" t="s">
        <v>94</v>
      </c>
      <c r="C321" s="298"/>
      <c r="D321" s="310"/>
      <c r="E321" s="305" t="s">
        <v>75</v>
      </c>
      <c r="F321" s="125">
        <v>293300</v>
      </c>
      <c r="G321" s="356"/>
      <c r="H321" s="357"/>
      <c r="I321" s="358"/>
      <c r="J321" s="358"/>
      <c r="K321" s="359"/>
      <c r="L321" s="325"/>
    </row>
    <row r="322" spans="1:12" s="326" customFormat="1" ht="45" hidden="1">
      <c r="A322" s="432" t="s">
        <v>673</v>
      </c>
      <c r="B322" s="117" t="s">
        <v>290</v>
      </c>
      <c r="C322" s="298">
        <v>5</v>
      </c>
      <c r="D322" s="310"/>
      <c r="E322" s="333"/>
      <c r="F322" s="125">
        <f>F324+F325+F323</f>
        <v>1359896.41</v>
      </c>
      <c r="G322" s="356"/>
      <c r="H322" s="357"/>
      <c r="I322" s="358"/>
      <c r="J322" s="358"/>
      <c r="K322" s="359"/>
      <c r="L322" s="325"/>
    </row>
    <row r="323" spans="1:12" s="326" customFormat="1" ht="15" hidden="1">
      <c r="A323" s="433"/>
      <c r="B323" s="254" t="s">
        <v>276</v>
      </c>
      <c r="C323" s="320"/>
      <c r="D323" s="310"/>
      <c r="E323" s="323" t="s">
        <v>74</v>
      </c>
      <c r="F323" s="125"/>
      <c r="G323" s="356"/>
      <c r="H323" s="357"/>
      <c r="I323" s="358"/>
      <c r="J323" s="358"/>
      <c r="K323" s="359"/>
      <c r="L323" s="325"/>
    </row>
    <row r="324" spans="1:12" s="326" customFormat="1" ht="15" hidden="1">
      <c r="A324" s="433"/>
      <c r="B324" s="116" t="s">
        <v>277</v>
      </c>
      <c r="C324" s="320"/>
      <c r="D324" s="310"/>
      <c r="E324" s="305" t="s">
        <v>75</v>
      </c>
      <c r="F324" s="125">
        <v>1184096.41</v>
      </c>
      <c r="G324" s="356"/>
      <c r="H324" s="357"/>
      <c r="I324" s="358"/>
      <c r="J324" s="358"/>
      <c r="K324" s="359"/>
      <c r="L324" s="325"/>
    </row>
    <row r="325" spans="1:12" s="326" customFormat="1" ht="15" hidden="1">
      <c r="A325" s="434"/>
      <c r="B325" s="226" t="s">
        <v>93</v>
      </c>
      <c r="C325" s="320"/>
      <c r="D325" s="310"/>
      <c r="E325" s="305" t="s">
        <v>75</v>
      </c>
      <c r="F325" s="125">
        <v>175800</v>
      </c>
      <c r="G325" s="356"/>
      <c r="H325" s="357"/>
      <c r="I325" s="358"/>
      <c r="J325" s="358"/>
      <c r="K325" s="359"/>
      <c r="L325" s="325"/>
    </row>
    <row r="326" spans="1:12" s="326" customFormat="1" ht="57" hidden="1">
      <c r="A326" s="174" t="s">
        <v>4</v>
      </c>
      <c r="B326" s="70" t="s">
        <v>144</v>
      </c>
      <c r="C326" s="332">
        <f>SUM(C327:C337)</f>
        <v>4.356</v>
      </c>
      <c r="D326" s="305"/>
      <c r="E326" s="305" t="s">
        <v>75</v>
      </c>
      <c r="F326" s="257">
        <f>SUM(F327,F330,F333,F334,F335,F336,F337)</f>
        <v>166342646</v>
      </c>
      <c r="G326" s="356"/>
      <c r="H326" s="357"/>
      <c r="I326" s="358"/>
      <c r="J326" s="358"/>
      <c r="K326" s="359"/>
      <c r="L326" s="325"/>
    </row>
    <row r="327" spans="1:12" s="326" customFormat="1" ht="45" hidden="1">
      <c r="A327" s="406" t="s">
        <v>674</v>
      </c>
      <c r="B327" s="116" t="s">
        <v>291</v>
      </c>
      <c r="C327" s="427">
        <v>1</v>
      </c>
      <c r="D327" s="403"/>
      <c r="E327" s="403" t="s">
        <v>75</v>
      </c>
      <c r="F327" s="125">
        <f>F328+F329</f>
        <v>28614646</v>
      </c>
      <c r="G327" s="356"/>
      <c r="H327" s="357"/>
      <c r="I327" s="358"/>
      <c r="J327" s="358"/>
      <c r="K327" s="359"/>
      <c r="L327" s="325"/>
    </row>
    <row r="328" spans="1:12" s="326" customFormat="1" ht="15" hidden="1">
      <c r="A328" s="407"/>
      <c r="B328" s="116" t="s">
        <v>95</v>
      </c>
      <c r="C328" s="428"/>
      <c r="D328" s="404"/>
      <c r="E328" s="404"/>
      <c r="F328" s="125">
        <f>4314000+23514000</f>
        <v>27828000</v>
      </c>
      <c r="G328" s="356"/>
      <c r="H328" s="357"/>
      <c r="I328" s="358"/>
      <c r="J328" s="358"/>
      <c r="K328" s="359"/>
      <c r="L328" s="325"/>
    </row>
    <row r="329" spans="1:12" s="326" customFormat="1" ht="15" hidden="1">
      <c r="A329" s="408"/>
      <c r="B329" s="116" t="s">
        <v>93</v>
      </c>
      <c r="C329" s="429"/>
      <c r="D329" s="405"/>
      <c r="E329" s="405"/>
      <c r="F329" s="125">
        <v>786646</v>
      </c>
      <c r="G329" s="356"/>
      <c r="H329" s="357"/>
      <c r="I329" s="358"/>
      <c r="J329" s="358"/>
      <c r="K329" s="359"/>
      <c r="L329" s="325"/>
    </row>
    <row r="330" spans="1:12" s="326" customFormat="1" ht="60" hidden="1">
      <c r="A330" s="406" t="s">
        <v>675</v>
      </c>
      <c r="B330" s="117" t="s">
        <v>292</v>
      </c>
      <c r="C330" s="427">
        <v>3.356</v>
      </c>
      <c r="D330" s="403"/>
      <c r="E330" s="403" t="s">
        <v>75</v>
      </c>
      <c r="F330" s="125">
        <f>F331+F332</f>
        <v>116088000</v>
      </c>
      <c r="G330" s="356"/>
      <c r="H330" s="357"/>
      <c r="I330" s="358"/>
      <c r="J330" s="358"/>
      <c r="K330" s="359"/>
      <c r="L330" s="325"/>
    </row>
    <row r="331" spans="1:12" s="326" customFormat="1" ht="15" hidden="1">
      <c r="A331" s="407"/>
      <c r="B331" s="116" t="s">
        <v>95</v>
      </c>
      <c r="C331" s="428"/>
      <c r="D331" s="404"/>
      <c r="E331" s="404"/>
      <c r="F331" s="125">
        <f>114000000-3150000</f>
        <v>110850000</v>
      </c>
      <c r="G331" s="356"/>
      <c r="H331" s="357"/>
      <c r="I331" s="358"/>
      <c r="J331" s="358"/>
      <c r="K331" s="359"/>
      <c r="L331" s="325"/>
    </row>
    <row r="332" spans="1:12" s="326" customFormat="1" ht="15" hidden="1">
      <c r="A332" s="408"/>
      <c r="B332" s="116" t="s">
        <v>93</v>
      </c>
      <c r="C332" s="429"/>
      <c r="D332" s="405"/>
      <c r="E332" s="405"/>
      <c r="F332" s="125">
        <f>2088000+3150000</f>
        <v>5238000</v>
      </c>
      <c r="G332" s="356"/>
      <c r="H332" s="357"/>
      <c r="I332" s="358"/>
      <c r="J332" s="358"/>
      <c r="K332" s="359"/>
      <c r="L332" s="325"/>
    </row>
    <row r="333" spans="1:12" s="326" customFormat="1" ht="30" hidden="1">
      <c r="A333" s="172" t="s">
        <v>676</v>
      </c>
      <c r="B333" s="117" t="s">
        <v>293</v>
      </c>
      <c r="C333" s="261"/>
      <c r="D333" s="262"/>
      <c r="E333" s="305" t="s">
        <v>75</v>
      </c>
      <c r="F333" s="125">
        <v>10000000</v>
      </c>
      <c r="G333" s="356"/>
      <c r="H333" s="357"/>
      <c r="I333" s="358"/>
      <c r="J333" s="358"/>
      <c r="K333" s="359"/>
      <c r="L333" s="325"/>
    </row>
    <row r="334" spans="1:12" s="326" customFormat="1" ht="45" hidden="1">
      <c r="A334" s="172" t="s">
        <v>677</v>
      </c>
      <c r="B334" s="226" t="s">
        <v>294</v>
      </c>
      <c r="C334" s="327"/>
      <c r="D334" s="316"/>
      <c r="E334" s="305" t="s">
        <v>75</v>
      </c>
      <c r="F334" s="125">
        <v>4500000</v>
      </c>
      <c r="G334" s="356"/>
      <c r="H334" s="357"/>
      <c r="I334" s="358"/>
      <c r="J334" s="358"/>
      <c r="K334" s="359"/>
      <c r="L334" s="325"/>
    </row>
    <row r="335" spans="1:12" s="326" customFormat="1" ht="60" hidden="1">
      <c r="A335" s="172" t="s">
        <v>678</v>
      </c>
      <c r="B335" s="117" t="s">
        <v>295</v>
      </c>
      <c r="C335" s="263"/>
      <c r="D335" s="97"/>
      <c r="E335" s="305" t="s">
        <v>75</v>
      </c>
      <c r="F335" s="125">
        <v>1500000</v>
      </c>
      <c r="G335" s="356"/>
      <c r="H335" s="357"/>
      <c r="I335" s="358"/>
      <c r="J335" s="358"/>
      <c r="K335" s="359"/>
      <c r="L335" s="325"/>
    </row>
    <row r="336" spans="1:12" s="326" customFormat="1" ht="30" hidden="1">
      <c r="A336" s="172" t="s">
        <v>679</v>
      </c>
      <c r="B336" s="226" t="s">
        <v>296</v>
      </c>
      <c r="C336" s="263"/>
      <c r="D336" s="97"/>
      <c r="E336" s="305" t="s">
        <v>75</v>
      </c>
      <c r="F336" s="125">
        <v>5000000</v>
      </c>
      <c r="G336" s="356"/>
      <c r="H336" s="357"/>
      <c r="I336" s="358"/>
      <c r="J336" s="358"/>
      <c r="K336" s="359"/>
      <c r="L336" s="325"/>
    </row>
    <row r="337" spans="1:12" s="326" customFormat="1" ht="45" hidden="1">
      <c r="A337" s="172" t="s">
        <v>680</v>
      </c>
      <c r="B337" s="117" t="s">
        <v>297</v>
      </c>
      <c r="C337" s="308"/>
      <c r="D337" s="336"/>
      <c r="E337" s="305" t="s">
        <v>75</v>
      </c>
      <c r="F337" s="125">
        <v>640000</v>
      </c>
      <c r="G337" s="356"/>
      <c r="H337" s="357"/>
      <c r="I337" s="358"/>
      <c r="J337" s="358"/>
      <c r="K337" s="359"/>
      <c r="L337" s="325"/>
    </row>
    <row r="338" spans="1:12" s="326" customFormat="1" ht="13.5" customHeight="1" hidden="1">
      <c r="A338" s="439" t="s">
        <v>681</v>
      </c>
      <c r="B338" s="440"/>
      <c r="C338" s="440"/>
      <c r="D338" s="440"/>
      <c r="E338" s="440"/>
      <c r="F338" s="440"/>
      <c r="G338" s="356"/>
      <c r="H338" s="357"/>
      <c r="I338" s="358"/>
      <c r="J338" s="358"/>
      <c r="K338" s="359"/>
      <c r="L338" s="325"/>
    </row>
    <row r="339" spans="1:12" s="326" customFormat="1" ht="28.5" hidden="1">
      <c r="A339" s="80" t="s">
        <v>2</v>
      </c>
      <c r="B339" s="346" t="s">
        <v>126</v>
      </c>
      <c r="C339" s="76">
        <f>SUM(C340:C351)</f>
        <v>2</v>
      </c>
      <c r="D339" s="103"/>
      <c r="E339" s="104" t="s">
        <v>75</v>
      </c>
      <c r="F339" s="163">
        <f>SUM(F340:F351)</f>
        <v>244337917.87</v>
      </c>
      <c r="G339" s="356"/>
      <c r="H339" s="357"/>
      <c r="I339" s="358"/>
      <c r="J339" s="358"/>
      <c r="K339" s="359"/>
      <c r="L339" s="325"/>
    </row>
    <row r="340" spans="1:12" s="326" customFormat="1" ht="45" hidden="1">
      <c r="A340" s="84" t="s">
        <v>3</v>
      </c>
      <c r="B340" s="331" t="s">
        <v>182</v>
      </c>
      <c r="C340" s="159">
        <v>2</v>
      </c>
      <c r="D340" s="103"/>
      <c r="E340" s="305" t="s">
        <v>75</v>
      </c>
      <c r="F340" s="219">
        <f>100000000</f>
        <v>100000000</v>
      </c>
      <c r="G340" s="356"/>
      <c r="H340" s="357"/>
      <c r="I340" s="358"/>
      <c r="J340" s="358"/>
      <c r="K340" s="359"/>
      <c r="L340" s="325"/>
    </row>
    <row r="341" spans="1:12" s="326" customFormat="1" ht="45" hidden="1">
      <c r="A341" s="84" t="s">
        <v>172</v>
      </c>
      <c r="B341" s="331" t="s">
        <v>183</v>
      </c>
      <c r="C341" s="102"/>
      <c r="D341" s="103"/>
      <c r="E341" s="305" t="s">
        <v>75</v>
      </c>
      <c r="F341" s="219">
        <v>4659630</v>
      </c>
      <c r="G341" s="356"/>
      <c r="H341" s="357"/>
      <c r="I341" s="358"/>
      <c r="J341" s="358"/>
      <c r="K341" s="359"/>
      <c r="L341" s="325"/>
    </row>
    <row r="342" spans="1:12" s="326" customFormat="1" ht="60" hidden="1">
      <c r="A342" s="84" t="s">
        <v>173</v>
      </c>
      <c r="B342" s="220" t="s">
        <v>184</v>
      </c>
      <c r="C342" s="102"/>
      <c r="D342" s="103"/>
      <c r="E342" s="305" t="s">
        <v>75</v>
      </c>
      <c r="F342" s="219">
        <v>22446790</v>
      </c>
      <c r="G342" s="356"/>
      <c r="H342" s="357"/>
      <c r="I342" s="358"/>
      <c r="J342" s="358"/>
      <c r="K342" s="359"/>
      <c r="L342" s="325"/>
    </row>
    <row r="343" spans="1:12" s="326" customFormat="1" ht="60" hidden="1">
      <c r="A343" s="84" t="s">
        <v>79</v>
      </c>
      <c r="B343" s="331" t="s">
        <v>185</v>
      </c>
      <c r="C343" s="102"/>
      <c r="D343" s="103"/>
      <c r="E343" s="305" t="s">
        <v>75</v>
      </c>
      <c r="F343" s="219">
        <v>6215460</v>
      </c>
      <c r="G343" s="356"/>
      <c r="H343" s="357"/>
      <c r="I343" s="358"/>
      <c r="J343" s="358"/>
      <c r="K343" s="359"/>
      <c r="L343" s="325"/>
    </row>
    <row r="344" spans="1:12" s="326" customFormat="1" ht="45" hidden="1">
      <c r="A344" s="84" t="s">
        <v>338</v>
      </c>
      <c r="B344" s="331" t="s">
        <v>186</v>
      </c>
      <c r="C344" s="102"/>
      <c r="D344" s="103"/>
      <c r="E344" s="305" t="s">
        <v>75</v>
      </c>
      <c r="F344" s="219">
        <v>14918303.07</v>
      </c>
      <c r="G344" s="356"/>
      <c r="H344" s="357"/>
      <c r="I344" s="358"/>
      <c r="J344" s="358"/>
      <c r="K344" s="359"/>
      <c r="L344" s="325"/>
    </row>
    <row r="345" spans="1:12" s="326" customFormat="1" ht="45" hidden="1">
      <c r="A345" s="84" t="s">
        <v>15</v>
      </c>
      <c r="B345" s="221" t="s">
        <v>187</v>
      </c>
      <c r="C345" s="102"/>
      <c r="D345" s="103"/>
      <c r="E345" s="305" t="s">
        <v>75</v>
      </c>
      <c r="F345" s="219">
        <v>10216480</v>
      </c>
      <c r="G345" s="356"/>
      <c r="H345" s="357"/>
      <c r="I345" s="358"/>
      <c r="J345" s="358"/>
      <c r="K345" s="359"/>
      <c r="L345" s="325"/>
    </row>
    <row r="346" spans="1:12" s="326" customFormat="1" ht="45" hidden="1">
      <c r="A346" s="84" t="s">
        <v>16</v>
      </c>
      <c r="B346" s="126" t="s">
        <v>188</v>
      </c>
      <c r="C346" s="102"/>
      <c r="D346" s="103"/>
      <c r="E346" s="305" t="s">
        <v>75</v>
      </c>
      <c r="F346" s="219">
        <v>13898254.8</v>
      </c>
      <c r="G346" s="356"/>
      <c r="H346" s="357"/>
      <c r="I346" s="358"/>
      <c r="J346" s="358"/>
      <c r="K346" s="359"/>
      <c r="L346" s="325"/>
    </row>
    <row r="347" spans="1:12" s="326" customFormat="1" ht="60" hidden="1">
      <c r="A347" s="84" t="s">
        <v>88</v>
      </c>
      <c r="B347" s="126" t="s">
        <v>189</v>
      </c>
      <c r="C347" s="102"/>
      <c r="D347" s="103"/>
      <c r="E347" s="305" t="s">
        <v>75</v>
      </c>
      <c r="F347" s="219">
        <v>11635460</v>
      </c>
      <c r="G347" s="356"/>
      <c r="H347" s="357"/>
      <c r="I347" s="358"/>
      <c r="J347" s="358"/>
      <c r="K347" s="359"/>
      <c r="L347" s="325"/>
    </row>
    <row r="348" spans="1:12" s="326" customFormat="1" ht="60" hidden="1">
      <c r="A348" s="84" t="s">
        <v>339</v>
      </c>
      <c r="B348" s="126" t="s">
        <v>190</v>
      </c>
      <c r="C348" s="102"/>
      <c r="D348" s="103"/>
      <c r="E348" s="305" t="s">
        <v>75</v>
      </c>
      <c r="F348" s="219">
        <v>10937530</v>
      </c>
      <c r="G348" s="356"/>
      <c r="H348" s="357"/>
      <c r="I348" s="358"/>
      <c r="J348" s="358"/>
      <c r="K348" s="359"/>
      <c r="L348" s="325"/>
    </row>
    <row r="349" spans="1:12" s="326" customFormat="1" ht="60" hidden="1">
      <c r="A349" s="84" t="s">
        <v>340</v>
      </c>
      <c r="B349" s="126" t="s">
        <v>191</v>
      </c>
      <c r="C349" s="102"/>
      <c r="D349" s="103"/>
      <c r="E349" s="305" t="s">
        <v>75</v>
      </c>
      <c r="F349" s="219">
        <v>11529710</v>
      </c>
      <c r="G349" s="356"/>
      <c r="H349" s="357"/>
      <c r="I349" s="358"/>
      <c r="J349" s="358"/>
      <c r="K349" s="359"/>
      <c r="L349" s="325"/>
    </row>
    <row r="350" spans="1:12" s="326" customFormat="1" ht="60" hidden="1">
      <c r="A350" s="84" t="s">
        <v>341</v>
      </c>
      <c r="B350" s="126" t="s">
        <v>192</v>
      </c>
      <c r="C350" s="102"/>
      <c r="D350" s="103"/>
      <c r="E350" s="305" t="s">
        <v>75</v>
      </c>
      <c r="F350" s="219">
        <v>11880300</v>
      </c>
      <c r="G350" s="356"/>
      <c r="H350" s="357"/>
      <c r="I350" s="358"/>
      <c r="J350" s="358"/>
      <c r="K350" s="359"/>
      <c r="L350" s="325"/>
    </row>
    <row r="351" spans="1:12" s="326" customFormat="1" ht="15.75" hidden="1">
      <c r="A351" s="84" t="s">
        <v>342</v>
      </c>
      <c r="B351" s="335" t="s">
        <v>86</v>
      </c>
      <c r="C351" s="102"/>
      <c r="D351" s="103"/>
      <c r="E351" s="305" t="s">
        <v>75</v>
      </c>
      <c r="F351" s="219">
        <v>26000000</v>
      </c>
      <c r="G351" s="356"/>
      <c r="H351" s="357"/>
      <c r="I351" s="358"/>
      <c r="J351" s="358"/>
      <c r="K351" s="359"/>
      <c r="L351" s="325"/>
    </row>
    <row r="352" spans="1:12" s="326" customFormat="1" ht="42.75" hidden="1">
      <c r="A352" s="80" t="s">
        <v>92</v>
      </c>
      <c r="B352" s="101" t="s">
        <v>175</v>
      </c>
      <c r="C352" s="332">
        <f>SUM(C353:C355)</f>
        <v>16.799999999999997</v>
      </c>
      <c r="D352" s="332">
        <f>SUM(D354:D367)</f>
        <v>0</v>
      </c>
      <c r="E352" s="81" t="s">
        <v>75</v>
      </c>
      <c r="F352" s="164">
        <f>SUM(F353:F355)</f>
        <v>179023680.94</v>
      </c>
      <c r="G352" s="356"/>
      <c r="H352" s="357"/>
      <c r="I352" s="358"/>
      <c r="J352" s="358"/>
      <c r="K352" s="359"/>
      <c r="L352" s="325"/>
    </row>
    <row r="353" spans="1:12" s="326" customFormat="1" ht="45" hidden="1">
      <c r="A353" s="84" t="s">
        <v>1</v>
      </c>
      <c r="B353" s="222" t="s">
        <v>162</v>
      </c>
      <c r="C353" s="304">
        <v>4.8</v>
      </c>
      <c r="D353" s="305"/>
      <c r="E353" s="305" t="s">
        <v>75</v>
      </c>
      <c r="F353" s="125">
        <v>47023680.94</v>
      </c>
      <c r="G353" s="356"/>
      <c r="H353" s="357"/>
      <c r="I353" s="358"/>
      <c r="J353" s="358"/>
      <c r="K353" s="359"/>
      <c r="L353" s="325"/>
    </row>
    <row r="354" spans="1:12" s="326" customFormat="1" ht="45" hidden="1">
      <c r="A354" s="84" t="s">
        <v>212</v>
      </c>
      <c r="B354" s="222" t="s">
        <v>163</v>
      </c>
      <c r="C354" s="107">
        <v>5.26</v>
      </c>
      <c r="D354" s="305"/>
      <c r="E354" s="305" t="s">
        <v>75</v>
      </c>
      <c r="F354" s="125">
        <v>60000000</v>
      </c>
      <c r="G354" s="356"/>
      <c r="H354" s="357"/>
      <c r="I354" s="358"/>
      <c r="J354" s="358"/>
      <c r="K354" s="359"/>
      <c r="L354" s="325"/>
    </row>
    <row r="355" spans="1:12" s="326" customFormat="1" ht="60" hidden="1">
      <c r="A355" s="84" t="s">
        <v>682</v>
      </c>
      <c r="B355" s="331" t="s">
        <v>164</v>
      </c>
      <c r="C355" s="107">
        <v>6.74</v>
      </c>
      <c r="D355" s="305"/>
      <c r="E355" s="305" t="s">
        <v>75</v>
      </c>
      <c r="F355" s="125">
        <v>72000000</v>
      </c>
      <c r="G355" s="356"/>
      <c r="H355" s="357"/>
      <c r="I355" s="358"/>
      <c r="J355" s="358"/>
      <c r="K355" s="359"/>
      <c r="L355" s="325"/>
    </row>
    <row r="356" spans="1:12" s="326" customFormat="1" ht="13.5" customHeight="1" hidden="1">
      <c r="A356" s="481" t="s">
        <v>246</v>
      </c>
      <c r="B356" s="412" t="s">
        <v>174</v>
      </c>
      <c r="C356" s="415">
        <f>SUM(C359:C367)</f>
        <v>90.251</v>
      </c>
      <c r="D356" s="403"/>
      <c r="E356" s="81" t="s">
        <v>34</v>
      </c>
      <c r="F356" s="163">
        <f>SUM(F357:F358)</f>
        <v>1000000000</v>
      </c>
      <c r="G356" s="356"/>
      <c r="H356" s="357"/>
      <c r="I356" s="358"/>
      <c r="J356" s="358"/>
      <c r="K356" s="359"/>
      <c r="L356" s="325"/>
    </row>
    <row r="357" spans="1:12" s="326" customFormat="1" ht="15" hidden="1">
      <c r="A357" s="482"/>
      <c r="B357" s="413"/>
      <c r="C357" s="416"/>
      <c r="D357" s="404"/>
      <c r="E357" s="81" t="s">
        <v>74</v>
      </c>
      <c r="F357" s="163">
        <f>SUM(F364,F366,F367)</f>
        <v>500000000</v>
      </c>
      <c r="G357" s="356"/>
      <c r="H357" s="357"/>
      <c r="I357" s="358"/>
      <c r="J357" s="358"/>
      <c r="K357" s="359"/>
      <c r="L357" s="325"/>
    </row>
    <row r="358" spans="1:12" s="326" customFormat="1" ht="15" hidden="1">
      <c r="A358" s="483"/>
      <c r="B358" s="414"/>
      <c r="C358" s="417"/>
      <c r="D358" s="405"/>
      <c r="E358" s="81" t="s">
        <v>75</v>
      </c>
      <c r="F358" s="163">
        <f>SUM(F359,F360,F361,F362,F365)</f>
        <v>500000000</v>
      </c>
      <c r="G358" s="356"/>
      <c r="H358" s="357"/>
      <c r="I358" s="358"/>
      <c r="J358" s="358"/>
      <c r="K358" s="359"/>
      <c r="L358" s="325"/>
    </row>
    <row r="359" spans="1:12" s="326" customFormat="1" ht="45" hidden="1">
      <c r="A359" s="84" t="s">
        <v>72</v>
      </c>
      <c r="B359" s="223" t="s">
        <v>165</v>
      </c>
      <c r="C359" s="109">
        <v>9.05</v>
      </c>
      <c r="D359" s="305"/>
      <c r="E359" s="305" t="s">
        <v>75</v>
      </c>
      <c r="F359" s="125">
        <v>154980000</v>
      </c>
      <c r="G359" s="356"/>
      <c r="H359" s="357"/>
      <c r="I359" s="358"/>
      <c r="J359" s="358"/>
      <c r="K359" s="359"/>
      <c r="L359" s="325"/>
    </row>
    <row r="360" spans="1:12" s="326" customFormat="1" ht="60" hidden="1">
      <c r="A360" s="84" t="s">
        <v>73</v>
      </c>
      <c r="B360" s="223" t="s">
        <v>166</v>
      </c>
      <c r="C360" s="107">
        <v>18.37</v>
      </c>
      <c r="D360" s="305"/>
      <c r="E360" s="305" t="s">
        <v>75</v>
      </c>
      <c r="F360" s="125">
        <v>206052000</v>
      </c>
      <c r="G360" s="356"/>
      <c r="H360" s="357"/>
      <c r="I360" s="358"/>
      <c r="J360" s="358"/>
      <c r="K360" s="359"/>
      <c r="L360" s="325"/>
    </row>
    <row r="361" spans="1:12" s="326" customFormat="1" ht="45" hidden="1">
      <c r="A361" s="84" t="s">
        <v>309</v>
      </c>
      <c r="B361" s="223" t="s">
        <v>167</v>
      </c>
      <c r="C361" s="107">
        <v>8.57</v>
      </c>
      <c r="D361" s="305"/>
      <c r="E361" s="305" t="s">
        <v>75</v>
      </c>
      <c r="F361" s="125">
        <v>109279530</v>
      </c>
      <c r="G361" s="356"/>
      <c r="H361" s="357"/>
      <c r="I361" s="358"/>
      <c r="J361" s="358"/>
      <c r="K361" s="359"/>
      <c r="L361" s="325"/>
    </row>
    <row r="362" spans="1:12" s="326" customFormat="1" ht="45" hidden="1">
      <c r="A362" s="84" t="s">
        <v>310</v>
      </c>
      <c r="B362" s="223" t="s">
        <v>168</v>
      </c>
      <c r="C362" s="107">
        <v>1.731</v>
      </c>
      <c r="D362" s="305"/>
      <c r="E362" s="305" t="s">
        <v>75</v>
      </c>
      <c r="F362" s="125">
        <v>25531760</v>
      </c>
      <c r="G362" s="356"/>
      <c r="H362" s="357"/>
      <c r="I362" s="358"/>
      <c r="J362" s="358"/>
      <c r="K362" s="359"/>
      <c r="L362" s="325"/>
    </row>
    <row r="363" spans="1:12" s="326" customFormat="1" ht="13.5" customHeight="1" hidden="1">
      <c r="A363" s="418" t="s">
        <v>311</v>
      </c>
      <c r="B363" s="421" t="s">
        <v>169</v>
      </c>
      <c r="C363" s="400">
        <v>8.2</v>
      </c>
      <c r="D363" s="403"/>
      <c r="E363" s="305" t="s">
        <v>34</v>
      </c>
      <c r="F363" s="125">
        <f>F364+F365</f>
        <v>68880000</v>
      </c>
      <c r="G363" s="356"/>
      <c r="H363" s="357"/>
      <c r="I363" s="358"/>
      <c r="J363" s="358"/>
      <c r="K363" s="359"/>
      <c r="L363" s="325"/>
    </row>
    <row r="364" spans="1:12" s="326" customFormat="1" ht="15" hidden="1">
      <c r="A364" s="419"/>
      <c r="B364" s="422"/>
      <c r="C364" s="401"/>
      <c r="D364" s="404"/>
      <c r="E364" s="305" t="s">
        <v>74</v>
      </c>
      <c r="F364" s="224">
        <v>64723290</v>
      </c>
      <c r="G364" s="356"/>
      <c r="H364" s="357"/>
      <c r="I364" s="358"/>
      <c r="J364" s="358"/>
      <c r="K364" s="359"/>
      <c r="L364" s="325"/>
    </row>
    <row r="365" spans="1:12" s="326" customFormat="1" ht="15" hidden="1">
      <c r="A365" s="420"/>
      <c r="B365" s="423"/>
      <c r="C365" s="402"/>
      <c r="D365" s="405"/>
      <c r="E365" s="305" t="s">
        <v>75</v>
      </c>
      <c r="F365" s="125">
        <v>4156710</v>
      </c>
      <c r="G365" s="356"/>
      <c r="H365" s="357"/>
      <c r="I365" s="358"/>
      <c r="J365" s="358"/>
      <c r="K365" s="359"/>
      <c r="L365" s="325"/>
    </row>
    <row r="366" spans="1:12" s="326" customFormat="1" ht="45" hidden="1">
      <c r="A366" s="84" t="s">
        <v>312</v>
      </c>
      <c r="B366" s="347" t="s">
        <v>170</v>
      </c>
      <c r="C366" s="107">
        <v>22.63</v>
      </c>
      <c r="D366" s="305"/>
      <c r="E366" s="305" t="s">
        <v>74</v>
      </c>
      <c r="F366" s="224">
        <v>238700000</v>
      </c>
      <c r="G366" s="356"/>
      <c r="H366" s="357"/>
      <c r="I366" s="358"/>
      <c r="J366" s="358"/>
      <c r="K366" s="359"/>
      <c r="L366" s="325"/>
    </row>
    <row r="367" spans="1:12" s="326" customFormat="1" ht="45" hidden="1">
      <c r="A367" s="84" t="s">
        <v>313</v>
      </c>
      <c r="B367" s="223" t="s">
        <v>171</v>
      </c>
      <c r="C367" s="107">
        <v>21.7</v>
      </c>
      <c r="D367" s="305"/>
      <c r="E367" s="305" t="s">
        <v>74</v>
      </c>
      <c r="F367" s="224">
        <v>196576710</v>
      </c>
      <c r="G367" s="356"/>
      <c r="H367" s="357"/>
      <c r="I367" s="358"/>
      <c r="J367" s="358"/>
      <c r="K367" s="359"/>
      <c r="L367" s="325"/>
    </row>
    <row r="368" spans="1:12" s="326" customFormat="1" ht="28.5">
      <c r="A368" s="353" t="s">
        <v>92</v>
      </c>
      <c r="B368" s="368" t="s">
        <v>878</v>
      </c>
      <c r="C368" s="350"/>
      <c r="D368" s="349"/>
      <c r="E368" s="367" t="s">
        <v>34</v>
      </c>
      <c r="F368" s="351">
        <v>2162316647.44</v>
      </c>
      <c r="G368" s="356"/>
      <c r="H368" s="357"/>
      <c r="I368" s="358"/>
      <c r="J368" s="358"/>
      <c r="K368" s="359"/>
      <c r="L368" s="325"/>
    </row>
    <row r="369" spans="1:12" s="326" customFormat="1" ht="32.25" customHeight="1" hidden="1">
      <c r="A369" s="506" t="s">
        <v>0</v>
      </c>
      <c r="B369" s="509" t="s">
        <v>683</v>
      </c>
      <c r="C369" s="415"/>
      <c r="D369" s="403"/>
      <c r="E369" s="81" t="s">
        <v>34</v>
      </c>
      <c r="F369" s="196">
        <f>SUM(F370:F370)</f>
        <v>500000000</v>
      </c>
      <c r="G369" s="356"/>
      <c r="H369" s="357"/>
      <c r="I369" s="358"/>
      <c r="J369" s="358"/>
      <c r="K369" s="359"/>
      <c r="L369" s="325"/>
    </row>
    <row r="370" spans="1:12" s="326" customFormat="1" ht="37.5" customHeight="1" hidden="1">
      <c r="A370" s="508"/>
      <c r="B370" s="510"/>
      <c r="C370" s="417"/>
      <c r="D370" s="405"/>
      <c r="E370" s="81" t="s">
        <v>74</v>
      </c>
      <c r="F370" s="196">
        <f>SUM(F371:F388)</f>
        <v>500000000</v>
      </c>
      <c r="G370" s="356"/>
      <c r="H370" s="357"/>
      <c r="I370" s="358"/>
      <c r="J370" s="358"/>
      <c r="K370" s="359"/>
      <c r="L370" s="325"/>
    </row>
    <row r="371" spans="1:12" s="326" customFormat="1" ht="30" hidden="1">
      <c r="A371" s="191" t="s">
        <v>1</v>
      </c>
      <c r="B371" s="240" t="s">
        <v>407</v>
      </c>
      <c r="C371" s="315"/>
      <c r="D371" s="318"/>
      <c r="E371" s="305" t="s">
        <v>74</v>
      </c>
      <c r="F371" s="237">
        <v>22349502.08</v>
      </c>
      <c r="G371" s="356"/>
      <c r="H371" s="357"/>
      <c r="I371" s="358"/>
      <c r="J371" s="358"/>
      <c r="K371" s="359"/>
      <c r="L371" s="325"/>
    </row>
    <row r="372" spans="1:12" s="326" customFormat="1" ht="27" customHeight="1" hidden="1">
      <c r="A372" s="172" t="s">
        <v>212</v>
      </c>
      <c r="B372" s="240" t="s">
        <v>408</v>
      </c>
      <c r="C372" s="315"/>
      <c r="D372" s="318"/>
      <c r="E372" s="305" t="s">
        <v>74</v>
      </c>
      <c r="F372" s="231">
        <v>23461883.36</v>
      </c>
      <c r="G372" s="356"/>
      <c r="H372" s="357"/>
      <c r="I372" s="358"/>
      <c r="J372" s="358"/>
      <c r="K372" s="359"/>
      <c r="L372" s="325"/>
    </row>
    <row r="373" spans="1:12" s="326" customFormat="1" ht="29.25" customHeight="1" hidden="1">
      <c r="A373" s="191" t="s">
        <v>682</v>
      </c>
      <c r="B373" s="240" t="s">
        <v>409</v>
      </c>
      <c r="C373" s="315"/>
      <c r="D373" s="318"/>
      <c r="E373" s="305" t="s">
        <v>74</v>
      </c>
      <c r="F373" s="231">
        <v>51871722.66</v>
      </c>
      <c r="G373" s="356"/>
      <c r="H373" s="357"/>
      <c r="I373" s="358"/>
      <c r="J373" s="358"/>
      <c r="K373" s="359"/>
      <c r="L373" s="325"/>
    </row>
    <row r="374" spans="1:12" s="326" customFormat="1" ht="45" hidden="1">
      <c r="A374" s="172" t="s">
        <v>651</v>
      </c>
      <c r="B374" s="240" t="s">
        <v>410</v>
      </c>
      <c r="C374" s="315"/>
      <c r="D374" s="318"/>
      <c r="E374" s="305" t="s">
        <v>74</v>
      </c>
      <c r="F374" s="231">
        <v>30231372.26</v>
      </c>
      <c r="G374" s="356"/>
      <c r="H374" s="357"/>
      <c r="I374" s="358"/>
      <c r="J374" s="358"/>
      <c r="K374" s="359"/>
      <c r="L374" s="325"/>
    </row>
    <row r="375" spans="1:12" s="326" customFormat="1" ht="45" hidden="1">
      <c r="A375" s="191" t="s">
        <v>652</v>
      </c>
      <c r="B375" s="240" t="s">
        <v>411</v>
      </c>
      <c r="C375" s="315"/>
      <c r="D375" s="318"/>
      <c r="E375" s="305" t="s">
        <v>74</v>
      </c>
      <c r="F375" s="231">
        <v>23759913.6</v>
      </c>
      <c r="G375" s="356"/>
      <c r="H375" s="357"/>
      <c r="I375" s="358"/>
      <c r="J375" s="358"/>
      <c r="K375" s="359"/>
      <c r="L375" s="325"/>
    </row>
    <row r="376" spans="1:12" s="326" customFormat="1" ht="27.75" customHeight="1" hidden="1">
      <c r="A376" s="172" t="s">
        <v>653</v>
      </c>
      <c r="B376" s="240" t="s">
        <v>412</v>
      </c>
      <c r="C376" s="315"/>
      <c r="D376" s="318"/>
      <c r="E376" s="305" t="s">
        <v>74</v>
      </c>
      <c r="F376" s="231">
        <v>23758911.78</v>
      </c>
      <c r="G376" s="356"/>
      <c r="H376" s="357"/>
      <c r="I376" s="358"/>
      <c r="J376" s="358"/>
      <c r="K376" s="359"/>
      <c r="L376" s="325"/>
    </row>
    <row r="377" spans="1:12" s="326" customFormat="1" ht="30" hidden="1">
      <c r="A377" s="191" t="s">
        <v>654</v>
      </c>
      <c r="B377" s="240" t="s">
        <v>413</v>
      </c>
      <c r="C377" s="315"/>
      <c r="D377" s="318"/>
      <c r="E377" s="305" t="s">
        <v>74</v>
      </c>
      <c r="F377" s="231">
        <v>48538957.8</v>
      </c>
      <c r="G377" s="356"/>
      <c r="H377" s="357"/>
      <c r="I377" s="358"/>
      <c r="J377" s="358"/>
      <c r="K377" s="359"/>
      <c r="L377" s="325"/>
    </row>
    <row r="378" spans="1:12" s="326" customFormat="1" ht="27.75" customHeight="1" hidden="1">
      <c r="A378" s="172" t="s">
        <v>655</v>
      </c>
      <c r="B378" s="240" t="s">
        <v>414</v>
      </c>
      <c r="C378" s="315"/>
      <c r="D378" s="318"/>
      <c r="E378" s="305" t="s">
        <v>74</v>
      </c>
      <c r="F378" s="231">
        <v>7559279.42</v>
      </c>
      <c r="G378" s="356"/>
      <c r="H378" s="357"/>
      <c r="I378" s="358"/>
      <c r="J378" s="358"/>
      <c r="K378" s="359"/>
      <c r="L378" s="325"/>
    </row>
    <row r="379" spans="1:12" s="326" customFormat="1" ht="27.75" customHeight="1" hidden="1">
      <c r="A379" s="191" t="s">
        <v>706</v>
      </c>
      <c r="B379" s="240" t="s">
        <v>415</v>
      </c>
      <c r="C379" s="315"/>
      <c r="D379" s="318"/>
      <c r="E379" s="305" t="s">
        <v>74</v>
      </c>
      <c r="F379" s="231">
        <v>15053321.36</v>
      </c>
      <c r="G379" s="356"/>
      <c r="H379" s="357"/>
      <c r="I379" s="358"/>
      <c r="J379" s="358"/>
      <c r="K379" s="359"/>
      <c r="L379" s="325"/>
    </row>
    <row r="380" spans="1:12" s="326" customFormat="1" ht="27.75" customHeight="1" hidden="1">
      <c r="A380" s="172" t="s">
        <v>707</v>
      </c>
      <c r="B380" s="240" t="s">
        <v>416</v>
      </c>
      <c r="C380" s="315"/>
      <c r="D380" s="318"/>
      <c r="E380" s="305" t="s">
        <v>74</v>
      </c>
      <c r="F380" s="231">
        <v>7719366.48</v>
      </c>
      <c r="G380" s="356"/>
      <c r="H380" s="357"/>
      <c r="I380" s="358"/>
      <c r="J380" s="358"/>
      <c r="K380" s="359"/>
      <c r="L380" s="325"/>
    </row>
    <row r="381" spans="1:12" s="326" customFormat="1" ht="28.5" customHeight="1" hidden="1">
      <c r="A381" s="191" t="s">
        <v>708</v>
      </c>
      <c r="B381" s="240" t="s">
        <v>417</v>
      </c>
      <c r="C381" s="315"/>
      <c r="D381" s="318"/>
      <c r="E381" s="305" t="s">
        <v>74</v>
      </c>
      <c r="F381" s="231">
        <v>39580618.46</v>
      </c>
      <c r="G381" s="356"/>
      <c r="H381" s="357"/>
      <c r="I381" s="358"/>
      <c r="J381" s="358"/>
      <c r="K381" s="359"/>
      <c r="L381" s="325"/>
    </row>
    <row r="382" spans="1:12" s="326" customFormat="1" ht="29.25" customHeight="1" hidden="1">
      <c r="A382" s="172" t="s">
        <v>709</v>
      </c>
      <c r="B382" s="240" t="s">
        <v>418</v>
      </c>
      <c r="C382" s="315"/>
      <c r="D382" s="318"/>
      <c r="E382" s="305" t="s">
        <v>74</v>
      </c>
      <c r="F382" s="231">
        <v>21848937.82</v>
      </c>
      <c r="G382" s="356"/>
      <c r="H382" s="357"/>
      <c r="I382" s="358"/>
      <c r="J382" s="358"/>
      <c r="K382" s="359"/>
      <c r="L382" s="325"/>
    </row>
    <row r="383" spans="1:12" s="326" customFormat="1" ht="43.5" customHeight="1" hidden="1">
      <c r="A383" s="191" t="s">
        <v>710</v>
      </c>
      <c r="B383" s="240" t="s">
        <v>419</v>
      </c>
      <c r="C383" s="315"/>
      <c r="D383" s="318"/>
      <c r="E383" s="305" t="s">
        <v>74</v>
      </c>
      <c r="F383" s="231">
        <v>19426285.72</v>
      </c>
      <c r="G383" s="356"/>
      <c r="H383" s="357"/>
      <c r="I383" s="358"/>
      <c r="J383" s="358"/>
      <c r="K383" s="359"/>
      <c r="L383" s="325"/>
    </row>
    <row r="384" spans="1:12" s="326" customFormat="1" ht="30" customHeight="1" hidden="1">
      <c r="A384" s="172" t="s">
        <v>711</v>
      </c>
      <c r="B384" s="240" t="s">
        <v>420</v>
      </c>
      <c r="C384" s="315"/>
      <c r="D384" s="318"/>
      <c r="E384" s="305" t="s">
        <v>74</v>
      </c>
      <c r="F384" s="231">
        <v>16140547.4</v>
      </c>
      <c r="G384" s="356"/>
      <c r="H384" s="357"/>
      <c r="I384" s="358"/>
      <c r="J384" s="358"/>
      <c r="K384" s="359"/>
      <c r="L384" s="325"/>
    </row>
    <row r="385" spans="1:12" s="326" customFormat="1" ht="30" hidden="1">
      <c r="A385" s="191" t="s">
        <v>712</v>
      </c>
      <c r="B385" s="240" t="s">
        <v>421</v>
      </c>
      <c r="C385" s="315"/>
      <c r="D385" s="318"/>
      <c r="E385" s="305" t="s">
        <v>74</v>
      </c>
      <c r="F385" s="231">
        <v>20262853.8</v>
      </c>
      <c r="G385" s="356"/>
      <c r="H385" s="357"/>
      <c r="I385" s="358"/>
      <c r="J385" s="358"/>
      <c r="K385" s="359"/>
      <c r="L385" s="325"/>
    </row>
    <row r="386" spans="1:12" s="326" customFormat="1" ht="30" customHeight="1" hidden="1">
      <c r="A386" s="172" t="s">
        <v>713</v>
      </c>
      <c r="B386" s="240" t="s">
        <v>422</v>
      </c>
      <c r="C386" s="315"/>
      <c r="D386" s="318"/>
      <c r="E386" s="305" t="s">
        <v>74</v>
      </c>
      <c r="F386" s="231">
        <v>18359863.08</v>
      </c>
      <c r="G386" s="356"/>
      <c r="H386" s="357"/>
      <c r="I386" s="358"/>
      <c r="J386" s="358"/>
      <c r="K386" s="359"/>
      <c r="L386" s="325"/>
    </row>
    <row r="387" spans="1:12" s="326" customFormat="1" ht="45" hidden="1">
      <c r="A387" s="191" t="s">
        <v>714</v>
      </c>
      <c r="B387" s="240" t="s">
        <v>423</v>
      </c>
      <c r="C387" s="315"/>
      <c r="D387" s="318"/>
      <c r="E387" s="316" t="s">
        <v>74</v>
      </c>
      <c r="F387" s="242">
        <v>28027824.92</v>
      </c>
      <c r="G387" s="356"/>
      <c r="H387" s="357"/>
      <c r="I387" s="358"/>
      <c r="J387" s="358"/>
      <c r="K387" s="359"/>
      <c r="L387" s="325"/>
    </row>
    <row r="388" spans="1:12" s="326" customFormat="1" ht="15" hidden="1">
      <c r="A388" s="172" t="s">
        <v>715</v>
      </c>
      <c r="B388" s="244" t="s">
        <v>86</v>
      </c>
      <c r="C388" s="304"/>
      <c r="D388" s="305"/>
      <c r="E388" s="305" t="s">
        <v>74</v>
      </c>
      <c r="F388" s="238">
        <f>500000000-SUM(F371:F387)</f>
        <v>82048838.00000006</v>
      </c>
      <c r="G388" s="356"/>
      <c r="H388" s="357"/>
      <c r="I388" s="358"/>
      <c r="J388" s="358"/>
      <c r="K388" s="359"/>
      <c r="L388" s="325"/>
    </row>
    <row r="389" spans="1:12" s="326" customFormat="1" ht="13.5" customHeight="1" hidden="1">
      <c r="A389" s="506" t="s">
        <v>4</v>
      </c>
      <c r="B389" s="499" t="s">
        <v>117</v>
      </c>
      <c r="C389" s="427"/>
      <c r="D389" s="403"/>
      <c r="E389" s="127" t="s">
        <v>34</v>
      </c>
      <c r="F389" s="165">
        <f>SUM(F390:F391)</f>
        <v>788440914.6500001</v>
      </c>
      <c r="G389" s="356"/>
      <c r="H389" s="357"/>
      <c r="I389" s="358"/>
      <c r="J389" s="358"/>
      <c r="K389" s="359"/>
      <c r="L389" s="325"/>
    </row>
    <row r="390" spans="1:12" s="326" customFormat="1" ht="15" hidden="1">
      <c r="A390" s="507"/>
      <c r="B390" s="500"/>
      <c r="C390" s="428"/>
      <c r="D390" s="404"/>
      <c r="E390" s="81" t="s">
        <v>75</v>
      </c>
      <c r="F390" s="160">
        <f>F393+F396+F399+F403+F406+F409+F412+F415+F418+F421+F424+F427+F430+F474</f>
        <v>750000000.0000001</v>
      </c>
      <c r="G390" s="356"/>
      <c r="H390" s="357"/>
      <c r="I390" s="358"/>
      <c r="J390" s="358"/>
      <c r="K390" s="359"/>
      <c r="L390" s="325"/>
    </row>
    <row r="391" spans="1:12" s="326" customFormat="1" ht="15" hidden="1">
      <c r="A391" s="508"/>
      <c r="B391" s="501"/>
      <c r="C391" s="429"/>
      <c r="D391" s="405"/>
      <c r="E391" s="81" t="s">
        <v>18</v>
      </c>
      <c r="F391" s="160">
        <f>F394+F397+F400+F404+F407+F410+F413+F416+F419+F422+F434+F437+F440+F443</f>
        <v>38440914.65</v>
      </c>
      <c r="G391" s="356"/>
      <c r="H391" s="357"/>
      <c r="I391" s="358"/>
      <c r="J391" s="358"/>
      <c r="K391" s="359"/>
      <c r="L391" s="325"/>
    </row>
    <row r="392" spans="1:12" s="326" customFormat="1" ht="13.5" customHeight="1">
      <c r="A392" s="406" t="s">
        <v>716</v>
      </c>
      <c r="B392" s="473" t="s">
        <v>347</v>
      </c>
      <c r="C392" s="427"/>
      <c r="D392" s="403"/>
      <c r="E392" s="81" t="s">
        <v>34</v>
      </c>
      <c r="F392" s="160">
        <f>SUM(F393:F394)</f>
        <v>26315788.88</v>
      </c>
      <c r="G392" s="356"/>
      <c r="H392" s="357"/>
      <c r="I392" s="358"/>
      <c r="J392" s="358"/>
      <c r="K392" s="359"/>
      <c r="L392" s="325"/>
    </row>
    <row r="393" spans="1:12" s="326" customFormat="1" ht="15">
      <c r="A393" s="407"/>
      <c r="B393" s="474"/>
      <c r="C393" s="428"/>
      <c r="D393" s="404"/>
      <c r="E393" s="305" t="s">
        <v>75</v>
      </c>
      <c r="F393" s="231">
        <v>24999999.43</v>
      </c>
      <c r="G393" s="356"/>
      <c r="H393" s="357"/>
      <c r="I393" s="358"/>
      <c r="J393" s="358"/>
      <c r="K393" s="359"/>
      <c r="L393" s="325"/>
    </row>
    <row r="394" spans="1:12" s="326" customFormat="1" ht="15">
      <c r="A394" s="408"/>
      <c r="B394" s="475"/>
      <c r="C394" s="429"/>
      <c r="D394" s="405"/>
      <c r="E394" s="305" t="s">
        <v>18</v>
      </c>
      <c r="F394" s="161">
        <v>1315789.4499999993</v>
      </c>
      <c r="G394" s="356"/>
      <c r="H394" s="357"/>
      <c r="I394" s="358"/>
      <c r="J394" s="358"/>
      <c r="K394" s="359"/>
      <c r="L394" s="325"/>
    </row>
    <row r="395" spans="1:12" s="326" customFormat="1" ht="13.5" customHeight="1">
      <c r="A395" s="406" t="s">
        <v>717</v>
      </c>
      <c r="B395" s="476" t="s">
        <v>348</v>
      </c>
      <c r="C395" s="427"/>
      <c r="D395" s="403"/>
      <c r="E395" s="81" t="s">
        <v>34</v>
      </c>
      <c r="F395" s="160">
        <f>SUM(F396:F397)</f>
        <v>31679208.66</v>
      </c>
      <c r="G395" s="356"/>
      <c r="H395" s="357"/>
      <c r="I395" s="358"/>
      <c r="J395" s="358"/>
      <c r="K395" s="359"/>
      <c r="L395" s="325"/>
    </row>
    <row r="396" spans="1:12" s="326" customFormat="1" ht="15">
      <c r="A396" s="407"/>
      <c r="B396" s="477"/>
      <c r="C396" s="428"/>
      <c r="D396" s="404"/>
      <c r="E396" s="305" t="s">
        <v>75</v>
      </c>
      <c r="F396" s="231">
        <v>30000000</v>
      </c>
      <c r="G396" s="356"/>
      <c r="H396" s="357"/>
      <c r="I396" s="358"/>
      <c r="J396" s="358"/>
      <c r="K396" s="359"/>
      <c r="L396" s="325"/>
    </row>
    <row r="397" spans="1:12" s="326" customFormat="1" ht="15">
      <c r="A397" s="408"/>
      <c r="B397" s="478"/>
      <c r="C397" s="429"/>
      <c r="D397" s="405"/>
      <c r="E397" s="305" t="s">
        <v>18</v>
      </c>
      <c r="F397" s="161">
        <v>1679208.6600000001</v>
      </c>
      <c r="G397" s="356"/>
      <c r="H397" s="357"/>
      <c r="I397" s="358"/>
      <c r="J397" s="358"/>
      <c r="K397" s="359"/>
      <c r="L397" s="325"/>
    </row>
    <row r="398" spans="1:12" s="326" customFormat="1" ht="13.5" customHeight="1">
      <c r="A398" s="406" t="s">
        <v>718</v>
      </c>
      <c r="B398" s="449" t="s">
        <v>349</v>
      </c>
      <c r="C398" s="427"/>
      <c r="D398" s="403"/>
      <c r="E398" s="81" t="s">
        <v>34</v>
      </c>
      <c r="F398" s="160">
        <f>SUM(F399:F400)</f>
        <v>29999804.32</v>
      </c>
      <c r="G398" s="356"/>
      <c r="H398" s="357"/>
      <c r="I398" s="358"/>
      <c r="J398" s="358"/>
      <c r="K398" s="359"/>
      <c r="L398" s="325"/>
    </row>
    <row r="399" spans="1:12" s="326" customFormat="1" ht="15">
      <c r="A399" s="407"/>
      <c r="B399" s="450"/>
      <c r="C399" s="428"/>
      <c r="D399" s="404"/>
      <c r="E399" s="305" t="s">
        <v>75</v>
      </c>
      <c r="F399" s="231">
        <v>28499814</v>
      </c>
      <c r="G399" s="356"/>
      <c r="H399" s="357"/>
      <c r="I399" s="358"/>
      <c r="J399" s="358"/>
      <c r="K399" s="359"/>
      <c r="L399" s="325"/>
    </row>
    <row r="400" spans="1:12" s="326" customFormat="1" ht="15">
      <c r="A400" s="408"/>
      <c r="B400" s="451"/>
      <c r="C400" s="429"/>
      <c r="D400" s="405"/>
      <c r="E400" s="305" t="s">
        <v>18</v>
      </c>
      <c r="F400" s="161">
        <v>1499990.3200000003</v>
      </c>
      <c r="G400" s="356"/>
      <c r="H400" s="357"/>
      <c r="I400" s="358"/>
      <c r="J400" s="358"/>
      <c r="K400" s="359"/>
      <c r="L400" s="325"/>
    </row>
    <row r="401" spans="1:12" s="326" customFormat="1" ht="13.5" customHeight="1">
      <c r="A401" s="406" t="s">
        <v>720</v>
      </c>
      <c r="B401" s="473" t="s">
        <v>350</v>
      </c>
      <c r="C401" s="427"/>
      <c r="D401" s="403"/>
      <c r="E401" s="81" t="s">
        <v>34</v>
      </c>
      <c r="F401" s="160">
        <f>SUM(F403:F404)</f>
        <v>9458045.74</v>
      </c>
      <c r="G401" s="356"/>
      <c r="H401" s="357"/>
      <c r="I401" s="358"/>
      <c r="J401" s="358"/>
      <c r="K401" s="359"/>
      <c r="L401" s="325"/>
    </row>
    <row r="402" spans="1:12" s="326" customFormat="1" ht="15">
      <c r="A402" s="407"/>
      <c r="B402" s="474"/>
      <c r="C402" s="428"/>
      <c r="D402" s="404"/>
      <c r="E402" s="305" t="s">
        <v>74</v>
      </c>
      <c r="F402" s="161">
        <v>0</v>
      </c>
      <c r="G402" s="356"/>
      <c r="H402" s="357"/>
      <c r="I402" s="358"/>
      <c r="J402" s="358"/>
      <c r="K402" s="359"/>
      <c r="L402" s="325"/>
    </row>
    <row r="403" spans="1:12" s="326" customFormat="1" ht="15">
      <c r="A403" s="407"/>
      <c r="B403" s="474"/>
      <c r="C403" s="428"/>
      <c r="D403" s="404"/>
      <c r="E403" s="305" t="s">
        <v>75</v>
      </c>
      <c r="F403" s="231">
        <v>8985143</v>
      </c>
      <c r="G403" s="356"/>
      <c r="H403" s="357"/>
      <c r="I403" s="358"/>
      <c r="J403" s="358"/>
      <c r="K403" s="359"/>
      <c r="L403" s="325"/>
    </row>
    <row r="404" spans="1:12" s="326" customFormat="1" ht="15">
      <c r="A404" s="408"/>
      <c r="B404" s="475"/>
      <c r="C404" s="429"/>
      <c r="D404" s="405"/>
      <c r="E404" s="305" t="s">
        <v>18</v>
      </c>
      <c r="F404" s="161">
        <v>472902.7400000002</v>
      </c>
      <c r="G404" s="356"/>
      <c r="H404" s="357"/>
      <c r="I404" s="358"/>
      <c r="J404" s="358"/>
      <c r="K404" s="359"/>
      <c r="L404" s="325"/>
    </row>
    <row r="405" spans="1:12" s="326" customFormat="1" ht="13.5" customHeight="1">
      <c r="A405" s="406" t="s">
        <v>721</v>
      </c>
      <c r="B405" s="473" t="s">
        <v>351</v>
      </c>
      <c r="C405" s="427"/>
      <c r="D405" s="403"/>
      <c r="E405" s="81" t="s">
        <v>34</v>
      </c>
      <c r="F405" s="160">
        <f>SUM(F406:F407)</f>
        <v>10000325.36</v>
      </c>
      <c r="G405" s="356"/>
      <c r="H405" s="357"/>
      <c r="I405" s="358"/>
      <c r="J405" s="358"/>
      <c r="K405" s="359"/>
      <c r="L405" s="325"/>
    </row>
    <row r="406" spans="1:12" s="326" customFormat="1" ht="15">
      <c r="A406" s="407"/>
      <c r="B406" s="474"/>
      <c r="C406" s="428"/>
      <c r="D406" s="404"/>
      <c r="E406" s="305" t="s">
        <v>75</v>
      </c>
      <c r="F406" s="231">
        <v>9500000</v>
      </c>
      <c r="G406" s="356"/>
      <c r="H406" s="357"/>
      <c r="I406" s="358"/>
      <c r="J406" s="358"/>
      <c r="K406" s="359"/>
      <c r="L406" s="325"/>
    </row>
    <row r="407" spans="1:12" s="326" customFormat="1" ht="15">
      <c r="A407" s="408"/>
      <c r="B407" s="475"/>
      <c r="C407" s="429"/>
      <c r="D407" s="405"/>
      <c r="E407" s="305" t="s">
        <v>18</v>
      </c>
      <c r="F407" s="161">
        <v>500325.3599999994</v>
      </c>
      <c r="G407" s="356"/>
      <c r="H407" s="357"/>
      <c r="I407" s="358"/>
      <c r="J407" s="358"/>
      <c r="K407" s="359"/>
      <c r="L407" s="325"/>
    </row>
    <row r="408" spans="1:12" s="326" customFormat="1" ht="13.5" customHeight="1">
      <c r="A408" s="406" t="s">
        <v>722</v>
      </c>
      <c r="B408" s="473" t="s">
        <v>352</v>
      </c>
      <c r="C408" s="427"/>
      <c r="D408" s="403"/>
      <c r="E408" s="81" t="s">
        <v>34</v>
      </c>
      <c r="F408" s="160">
        <f>SUM(F409:F410)</f>
        <v>15750021.3</v>
      </c>
      <c r="G408" s="356"/>
      <c r="H408" s="357"/>
      <c r="I408" s="358"/>
      <c r="J408" s="358"/>
      <c r="K408" s="359"/>
      <c r="L408" s="325"/>
    </row>
    <row r="409" spans="1:12" s="326" customFormat="1" ht="15">
      <c r="A409" s="407"/>
      <c r="B409" s="474"/>
      <c r="C409" s="428"/>
      <c r="D409" s="404"/>
      <c r="E409" s="305" t="s">
        <v>75</v>
      </c>
      <c r="F409" s="231">
        <v>14962520.23</v>
      </c>
      <c r="G409" s="356"/>
      <c r="H409" s="357"/>
      <c r="I409" s="358"/>
      <c r="J409" s="358"/>
      <c r="K409" s="359"/>
      <c r="L409" s="325"/>
    </row>
    <row r="410" spans="1:12" s="326" customFormat="1" ht="15">
      <c r="A410" s="408"/>
      <c r="B410" s="475"/>
      <c r="C410" s="429"/>
      <c r="D410" s="405"/>
      <c r="E410" s="305" t="s">
        <v>18</v>
      </c>
      <c r="F410" s="161">
        <v>787501.0700000003</v>
      </c>
      <c r="G410" s="356"/>
      <c r="H410" s="357"/>
      <c r="I410" s="358"/>
      <c r="J410" s="358"/>
      <c r="K410" s="359"/>
      <c r="L410" s="325"/>
    </row>
    <row r="411" spans="1:12" s="326" customFormat="1" ht="13.5" customHeight="1">
      <c r="A411" s="406" t="s">
        <v>723</v>
      </c>
      <c r="B411" s="473" t="s">
        <v>353</v>
      </c>
      <c r="C411" s="427"/>
      <c r="D411" s="403"/>
      <c r="E411" s="81" t="s">
        <v>34</v>
      </c>
      <c r="F411" s="160">
        <f>SUM(F412:F413)</f>
        <v>26514867.99</v>
      </c>
      <c r="G411" s="356"/>
      <c r="H411" s="357"/>
      <c r="I411" s="358"/>
      <c r="J411" s="358"/>
      <c r="K411" s="359"/>
      <c r="L411" s="325"/>
    </row>
    <row r="412" spans="1:12" s="326" customFormat="1" ht="15">
      <c r="A412" s="407"/>
      <c r="B412" s="474"/>
      <c r="C412" s="428"/>
      <c r="D412" s="404"/>
      <c r="E412" s="305" t="s">
        <v>75</v>
      </c>
      <c r="F412" s="231">
        <v>25000000</v>
      </c>
      <c r="G412" s="356"/>
      <c r="H412" s="357"/>
      <c r="I412" s="358"/>
      <c r="J412" s="358"/>
      <c r="K412" s="359"/>
      <c r="L412" s="325"/>
    </row>
    <row r="413" spans="1:12" s="326" customFormat="1" ht="15">
      <c r="A413" s="408"/>
      <c r="B413" s="475"/>
      <c r="C413" s="429"/>
      <c r="D413" s="405"/>
      <c r="E413" s="305" t="s">
        <v>18</v>
      </c>
      <c r="F413" s="161">
        <v>1514867.9899999984</v>
      </c>
      <c r="G413" s="356"/>
      <c r="H413" s="357"/>
      <c r="I413" s="358"/>
      <c r="J413" s="358"/>
      <c r="K413" s="359"/>
      <c r="L413" s="325"/>
    </row>
    <row r="414" spans="1:12" s="326" customFormat="1" ht="13.5" customHeight="1">
      <c r="A414" s="406" t="s">
        <v>724</v>
      </c>
      <c r="B414" s="473" t="s">
        <v>387</v>
      </c>
      <c r="C414" s="427"/>
      <c r="D414" s="403"/>
      <c r="E414" s="81" t="s">
        <v>34</v>
      </c>
      <c r="F414" s="160">
        <f>SUM(F415:F416)</f>
        <v>52631583.66</v>
      </c>
      <c r="G414" s="356"/>
      <c r="H414" s="357"/>
      <c r="I414" s="358"/>
      <c r="J414" s="358"/>
      <c r="K414" s="359"/>
      <c r="L414" s="325"/>
    </row>
    <row r="415" spans="1:12" s="326" customFormat="1" ht="15">
      <c r="A415" s="407"/>
      <c r="B415" s="474"/>
      <c r="C415" s="428"/>
      <c r="D415" s="404"/>
      <c r="E415" s="305" t="s">
        <v>75</v>
      </c>
      <c r="F415" s="231">
        <v>50000000</v>
      </c>
      <c r="G415" s="356"/>
      <c r="H415" s="357"/>
      <c r="I415" s="358"/>
      <c r="J415" s="358"/>
      <c r="K415" s="359"/>
      <c r="L415" s="325"/>
    </row>
    <row r="416" spans="1:12" s="326" customFormat="1" ht="15">
      <c r="A416" s="408"/>
      <c r="B416" s="475"/>
      <c r="C416" s="429"/>
      <c r="D416" s="405"/>
      <c r="E416" s="305" t="s">
        <v>18</v>
      </c>
      <c r="F416" s="161">
        <v>2631583.6599999964</v>
      </c>
      <c r="G416" s="356"/>
      <c r="H416" s="357"/>
      <c r="I416" s="358"/>
      <c r="J416" s="358"/>
      <c r="K416" s="359"/>
      <c r="L416" s="325"/>
    </row>
    <row r="417" spans="1:12" s="326" customFormat="1" ht="13.5" customHeight="1">
      <c r="A417" s="406" t="s">
        <v>725</v>
      </c>
      <c r="B417" s="473" t="s">
        <v>354</v>
      </c>
      <c r="C417" s="427"/>
      <c r="D417" s="403"/>
      <c r="E417" s="81" t="s">
        <v>34</v>
      </c>
      <c r="F417" s="160">
        <f>SUM(F418:F419)</f>
        <v>3711190.86</v>
      </c>
      <c r="G417" s="356"/>
      <c r="H417" s="357"/>
      <c r="I417" s="358"/>
      <c r="J417" s="358"/>
      <c r="K417" s="359"/>
      <c r="L417" s="325"/>
    </row>
    <row r="418" spans="1:12" s="326" customFormat="1" ht="15">
      <c r="A418" s="407"/>
      <c r="B418" s="474"/>
      <c r="C418" s="428"/>
      <c r="D418" s="404"/>
      <c r="E418" s="305" t="s">
        <v>75</v>
      </c>
      <c r="F418" s="231">
        <v>3500000</v>
      </c>
      <c r="G418" s="356"/>
      <c r="H418" s="357"/>
      <c r="I418" s="358"/>
      <c r="J418" s="358"/>
      <c r="K418" s="359"/>
      <c r="L418" s="325"/>
    </row>
    <row r="419" spans="1:12" s="326" customFormat="1" ht="15">
      <c r="A419" s="408"/>
      <c r="B419" s="475"/>
      <c r="C419" s="429"/>
      <c r="D419" s="405"/>
      <c r="E419" s="305" t="s">
        <v>18</v>
      </c>
      <c r="F419" s="161">
        <v>211190.85999999987</v>
      </c>
      <c r="G419" s="356"/>
      <c r="H419" s="357"/>
      <c r="I419" s="358"/>
      <c r="J419" s="358"/>
      <c r="K419" s="359"/>
      <c r="L419" s="325"/>
    </row>
    <row r="420" spans="1:12" s="326" customFormat="1" ht="13.5" customHeight="1">
      <c r="A420" s="406" t="s">
        <v>726</v>
      </c>
      <c r="B420" s="473" t="s">
        <v>354</v>
      </c>
      <c r="C420" s="427"/>
      <c r="D420" s="403"/>
      <c r="E420" s="81" t="s">
        <v>34</v>
      </c>
      <c r="F420" s="160">
        <f>SUM(F421:F422)</f>
        <v>3065536.16</v>
      </c>
      <c r="G420" s="356"/>
      <c r="H420" s="357"/>
      <c r="I420" s="358"/>
      <c r="J420" s="358"/>
      <c r="K420" s="359"/>
      <c r="L420" s="325"/>
    </row>
    <row r="421" spans="1:12" s="326" customFormat="1" ht="15">
      <c r="A421" s="407"/>
      <c r="B421" s="474"/>
      <c r="C421" s="428"/>
      <c r="D421" s="404"/>
      <c r="E421" s="305" t="s">
        <v>75</v>
      </c>
      <c r="F421" s="231">
        <v>2900000</v>
      </c>
      <c r="G421" s="356"/>
      <c r="H421" s="357"/>
      <c r="I421" s="358"/>
      <c r="J421" s="358"/>
      <c r="K421" s="359"/>
      <c r="L421" s="325"/>
    </row>
    <row r="422" spans="1:12" s="326" customFormat="1" ht="15">
      <c r="A422" s="408"/>
      <c r="B422" s="475"/>
      <c r="C422" s="429"/>
      <c r="D422" s="405"/>
      <c r="E422" s="305" t="s">
        <v>18</v>
      </c>
      <c r="F422" s="161">
        <v>165536.16000000015</v>
      </c>
      <c r="G422" s="356"/>
      <c r="H422" s="357"/>
      <c r="I422" s="358"/>
      <c r="J422" s="358"/>
      <c r="K422" s="359"/>
      <c r="L422" s="325"/>
    </row>
    <row r="423" spans="1:12" s="326" customFormat="1" ht="13.5" customHeight="1">
      <c r="A423" s="406" t="s">
        <v>727</v>
      </c>
      <c r="B423" s="436" t="s">
        <v>378</v>
      </c>
      <c r="C423" s="427"/>
      <c r="D423" s="403"/>
      <c r="E423" s="305" t="s">
        <v>34</v>
      </c>
      <c r="F423" s="160">
        <f>SUM(F424:F425)</f>
        <v>34236386.66</v>
      </c>
      <c r="G423" s="356"/>
      <c r="H423" s="357"/>
      <c r="I423" s="358"/>
      <c r="J423" s="358"/>
      <c r="K423" s="359"/>
      <c r="L423" s="325"/>
    </row>
    <row r="424" spans="1:12" s="326" customFormat="1" ht="15">
      <c r="A424" s="407"/>
      <c r="B424" s="437"/>
      <c r="C424" s="428"/>
      <c r="D424" s="404"/>
      <c r="E424" s="305" t="s">
        <v>75</v>
      </c>
      <c r="F424" s="246">
        <v>32524567</v>
      </c>
      <c r="G424" s="356"/>
      <c r="H424" s="357"/>
      <c r="I424" s="358"/>
      <c r="J424" s="358"/>
      <c r="K424" s="359"/>
      <c r="L424" s="325"/>
    </row>
    <row r="425" spans="1:12" s="326" customFormat="1" ht="15">
      <c r="A425" s="408"/>
      <c r="B425" s="438"/>
      <c r="C425" s="429"/>
      <c r="D425" s="405"/>
      <c r="E425" s="305" t="s">
        <v>18</v>
      </c>
      <c r="F425" s="161">
        <v>1711819.6599999964</v>
      </c>
      <c r="G425" s="356"/>
      <c r="H425" s="357"/>
      <c r="I425" s="358"/>
      <c r="J425" s="358"/>
      <c r="K425" s="359"/>
      <c r="L425" s="325"/>
    </row>
    <row r="426" spans="1:12" s="326" customFormat="1" ht="13.5" customHeight="1">
      <c r="A426" s="406" t="s">
        <v>728</v>
      </c>
      <c r="B426" s="436" t="s">
        <v>379</v>
      </c>
      <c r="C426" s="427"/>
      <c r="D426" s="403"/>
      <c r="E426" s="305" t="s">
        <v>34</v>
      </c>
      <c r="F426" s="160">
        <f>SUM(F427:F428)</f>
        <v>26315790.06</v>
      </c>
      <c r="G426" s="356"/>
      <c r="H426" s="357"/>
      <c r="I426" s="358"/>
      <c r="J426" s="358"/>
      <c r="K426" s="359"/>
      <c r="L426" s="325"/>
    </row>
    <row r="427" spans="1:12" s="326" customFormat="1" ht="15">
      <c r="A427" s="407"/>
      <c r="B427" s="437"/>
      <c r="C427" s="428"/>
      <c r="D427" s="404"/>
      <c r="E427" s="305" t="s">
        <v>75</v>
      </c>
      <c r="F427" s="246">
        <v>25000000</v>
      </c>
      <c r="G427" s="356"/>
      <c r="H427" s="357"/>
      <c r="I427" s="358"/>
      <c r="J427" s="358"/>
      <c r="K427" s="359"/>
      <c r="L427" s="325"/>
    </row>
    <row r="428" spans="1:12" s="326" customFormat="1" ht="15">
      <c r="A428" s="408"/>
      <c r="B428" s="438"/>
      <c r="C428" s="429"/>
      <c r="D428" s="405"/>
      <c r="E428" s="305" t="s">
        <v>18</v>
      </c>
      <c r="F428" s="161">
        <v>1315790.0599999987</v>
      </c>
      <c r="G428" s="356"/>
      <c r="H428" s="357"/>
      <c r="I428" s="358"/>
      <c r="J428" s="358"/>
      <c r="K428" s="359"/>
      <c r="L428" s="325"/>
    </row>
    <row r="429" spans="1:12" s="326" customFormat="1" ht="14.25" customHeight="1">
      <c r="A429" s="618" t="s">
        <v>881</v>
      </c>
      <c r="B429" s="619"/>
      <c r="C429" s="314"/>
      <c r="D429" s="317"/>
      <c r="E429" s="81" t="s">
        <v>34</v>
      </c>
      <c r="F429" s="160">
        <f>F430+F431</f>
        <v>499999417.0799999</v>
      </c>
      <c r="G429" s="356"/>
      <c r="H429" s="357"/>
      <c r="I429" s="358"/>
      <c r="J429" s="358"/>
      <c r="K429" s="359"/>
      <c r="L429" s="325"/>
    </row>
    <row r="430" spans="1:12" s="326" customFormat="1" ht="15">
      <c r="A430" s="620"/>
      <c r="B430" s="621"/>
      <c r="C430" s="314"/>
      <c r="D430" s="317"/>
      <c r="E430" s="305" t="s">
        <v>75</v>
      </c>
      <c r="F430" s="161">
        <f>F433+F436+F439+F442+F445+F448+F451+F454+F457+F460+F463+F466+F469+F472</f>
        <v>449999417.0899999</v>
      </c>
      <c r="G430" s="356"/>
      <c r="H430" s="357"/>
      <c r="I430" s="358"/>
      <c r="J430" s="358"/>
      <c r="K430" s="359"/>
      <c r="L430" s="325"/>
    </row>
    <row r="431" spans="1:12" s="326" customFormat="1" ht="15">
      <c r="A431" s="622"/>
      <c r="B431" s="623"/>
      <c r="C431" s="314"/>
      <c r="D431" s="317"/>
      <c r="E431" s="305" t="s">
        <v>18</v>
      </c>
      <c r="F431" s="161">
        <f>F434+F437+F440+F443+F446+F449+F452+F455+F458+F461+F464+F467+F470+F473</f>
        <v>49999999.989999995</v>
      </c>
      <c r="G431" s="356"/>
      <c r="H431" s="357"/>
      <c r="I431" s="358"/>
      <c r="J431" s="358"/>
      <c r="K431" s="359"/>
      <c r="L431" s="325"/>
    </row>
    <row r="432" spans="1:12" s="326" customFormat="1" ht="13.5" customHeight="1">
      <c r="A432" s="406" t="s">
        <v>729</v>
      </c>
      <c r="B432" s="473" t="s">
        <v>356</v>
      </c>
      <c r="C432" s="427"/>
      <c r="D432" s="403"/>
      <c r="E432" s="81" t="s">
        <v>34</v>
      </c>
      <c r="F432" s="160">
        <f>SUM(F433:F434)</f>
        <v>114149937.3</v>
      </c>
      <c r="G432" s="356"/>
      <c r="H432" s="357"/>
      <c r="I432" s="358"/>
      <c r="J432" s="358"/>
      <c r="K432" s="359"/>
      <c r="L432" s="325"/>
    </row>
    <row r="433" spans="1:12" s="326" customFormat="1" ht="15">
      <c r="A433" s="407"/>
      <c r="B433" s="474"/>
      <c r="C433" s="428"/>
      <c r="D433" s="404"/>
      <c r="E433" s="305" t="s">
        <v>75</v>
      </c>
      <c r="F433" s="231">
        <v>102734943.57</v>
      </c>
      <c r="G433" s="356"/>
      <c r="H433" s="357"/>
      <c r="I433" s="358"/>
      <c r="J433" s="358"/>
      <c r="K433" s="359"/>
      <c r="L433" s="325"/>
    </row>
    <row r="434" spans="1:12" s="326" customFormat="1" ht="15">
      <c r="A434" s="408"/>
      <c r="B434" s="475"/>
      <c r="C434" s="429"/>
      <c r="D434" s="405"/>
      <c r="E434" s="305" t="s">
        <v>18</v>
      </c>
      <c r="F434" s="161">
        <v>11414993.730000004</v>
      </c>
      <c r="G434" s="356"/>
      <c r="H434" s="357"/>
      <c r="I434" s="358"/>
      <c r="J434" s="358"/>
      <c r="K434" s="359"/>
      <c r="L434" s="325"/>
    </row>
    <row r="435" spans="1:12" s="326" customFormat="1" ht="13.5" customHeight="1">
      <c r="A435" s="406" t="s">
        <v>730</v>
      </c>
      <c r="B435" s="473" t="s">
        <v>357</v>
      </c>
      <c r="C435" s="427"/>
      <c r="D435" s="403"/>
      <c r="E435" s="81" t="s">
        <v>34</v>
      </c>
      <c r="F435" s="160">
        <f>SUM(F436:F437)</f>
        <v>10799992.48</v>
      </c>
      <c r="G435" s="356"/>
      <c r="H435" s="357"/>
      <c r="I435" s="358"/>
      <c r="J435" s="358"/>
      <c r="K435" s="359"/>
      <c r="L435" s="325"/>
    </row>
    <row r="436" spans="1:12" s="326" customFormat="1" ht="15">
      <c r="A436" s="407"/>
      <c r="B436" s="474"/>
      <c r="C436" s="428"/>
      <c r="D436" s="404"/>
      <c r="E436" s="305" t="s">
        <v>75</v>
      </c>
      <c r="F436" s="231">
        <v>9719993.23</v>
      </c>
      <c r="G436" s="356"/>
      <c r="H436" s="357"/>
      <c r="I436" s="358"/>
      <c r="J436" s="358"/>
      <c r="K436" s="359"/>
      <c r="L436" s="325"/>
    </row>
    <row r="437" spans="1:12" s="326" customFormat="1" ht="15">
      <c r="A437" s="408"/>
      <c r="B437" s="475"/>
      <c r="C437" s="429"/>
      <c r="D437" s="405"/>
      <c r="E437" s="305" t="s">
        <v>18</v>
      </c>
      <c r="F437" s="161">
        <v>1079999.25</v>
      </c>
      <c r="G437" s="356"/>
      <c r="H437" s="357"/>
      <c r="I437" s="358"/>
      <c r="J437" s="358"/>
      <c r="K437" s="359"/>
      <c r="L437" s="325"/>
    </row>
    <row r="438" spans="1:12" s="326" customFormat="1" ht="13.5" customHeight="1">
      <c r="A438" s="406" t="s">
        <v>731</v>
      </c>
      <c r="B438" s="449" t="s">
        <v>358</v>
      </c>
      <c r="C438" s="427"/>
      <c r="D438" s="403"/>
      <c r="E438" s="81" t="s">
        <v>34</v>
      </c>
      <c r="F438" s="160">
        <f>SUM(F439:F440)</f>
        <v>73529977.2</v>
      </c>
      <c r="G438" s="356"/>
      <c r="H438" s="357"/>
      <c r="I438" s="358"/>
      <c r="J438" s="358"/>
      <c r="K438" s="359"/>
      <c r="L438" s="325"/>
    </row>
    <row r="439" spans="1:12" s="326" customFormat="1" ht="15">
      <c r="A439" s="407"/>
      <c r="B439" s="450"/>
      <c r="C439" s="428"/>
      <c r="D439" s="404"/>
      <c r="E439" s="305" t="s">
        <v>75</v>
      </c>
      <c r="F439" s="237">
        <v>66176979.48</v>
      </c>
      <c r="G439" s="356"/>
      <c r="H439" s="357"/>
      <c r="I439" s="358"/>
      <c r="J439" s="358"/>
      <c r="K439" s="359"/>
      <c r="L439" s="325"/>
    </row>
    <row r="440" spans="1:12" s="326" customFormat="1" ht="15">
      <c r="A440" s="408"/>
      <c r="B440" s="451"/>
      <c r="C440" s="429"/>
      <c r="D440" s="405"/>
      <c r="E440" s="305" t="s">
        <v>18</v>
      </c>
      <c r="F440" s="161">
        <v>7352997.720000006</v>
      </c>
      <c r="G440" s="356"/>
      <c r="H440" s="357"/>
      <c r="I440" s="358"/>
      <c r="J440" s="358"/>
      <c r="K440" s="359"/>
      <c r="L440" s="325"/>
    </row>
    <row r="441" spans="1:12" s="326" customFormat="1" ht="13.5" customHeight="1">
      <c r="A441" s="406" t="s">
        <v>732</v>
      </c>
      <c r="B441" s="436" t="s">
        <v>359</v>
      </c>
      <c r="C441" s="427"/>
      <c r="D441" s="403"/>
      <c r="E441" s="365" t="s">
        <v>34</v>
      </c>
      <c r="F441" s="160">
        <f>SUM(F442:F443)</f>
        <v>78140276.8</v>
      </c>
      <c r="G441" s="356"/>
      <c r="H441" s="357"/>
      <c r="I441" s="358"/>
      <c r="J441" s="358"/>
      <c r="K441" s="359"/>
      <c r="L441" s="325"/>
    </row>
    <row r="442" spans="1:12" s="326" customFormat="1" ht="15">
      <c r="A442" s="407"/>
      <c r="B442" s="437"/>
      <c r="C442" s="428"/>
      <c r="D442" s="404"/>
      <c r="E442" s="305" t="s">
        <v>75</v>
      </c>
      <c r="F442" s="246">
        <v>70326249.12</v>
      </c>
      <c r="G442" s="356"/>
      <c r="H442" s="357"/>
      <c r="I442" s="358"/>
      <c r="J442" s="358"/>
      <c r="K442" s="359"/>
      <c r="L442" s="325"/>
    </row>
    <row r="443" spans="1:12" s="326" customFormat="1" ht="15">
      <c r="A443" s="408"/>
      <c r="B443" s="438"/>
      <c r="C443" s="429"/>
      <c r="D443" s="405"/>
      <c r="E443" s="305" t="s">
        <v>18</v>
      </c>
      <c r="F443" s="161">
        <v>7814027.679999992</v>
      </c>
      <c r="G443" s="356"/>
      <c r="H443" s="357"/>
      <c r="I443" s="358"/>
      <c r="J443" s="358"/>
      <c r="K443" s="359"/>
      <c r="L443" s="325"/>
    </row>
    <row r="444" spans="1:12" s="326" customFormat="1" ht="13.5" customHeight="1">
      <c r="A444" s="406" t="s">
        <v>733</v>
      </c>
      <c r="B444" s="436" t="s">
        <v>360</v>
      </c>
      <c r="C444" s="427"/>
      <c r="D444" s="403"/>
      <c r="E444" s="365" t="s">
        <v>34</v>
      </c>
      <c r="F444" s="160">
        <f>SUM(F445:F446)</f>
        <v>19819985.64</v>
      </c>
      <c r="G444" s="356"/>
      <c r="H444" s="357"/>
      <c r="I444" s="358"/>
      <c r="J444" s="358"/>
      <c r="K444" s="359"/>
      <c r="L444" s="325"/>
    </row>
    <row r="445" spans="1:12" s="326" customFormat="1" ht="15">
      <c r="A445" s="407"/>
      <c r="B445" s="437"/>
      <c r="C445" s="428"/>
      <c r="D445" s="404"/>
      <c r="E445" s="305" t="s">
        <v>75</v>
      </c>
      <c r="F445" s="246">
        <v>17837972.51</v>
      </c>
      <c r="G445" s="356"/>
      <c r="H445" s="357"/>
      <c r="I445" s="358"/>
      <c r="J445" s="358"/>
      <c r="K445" s="359"/>
      <c r="L445" s="325"/>
    </row>
    <row r="446" spans="1:12" s="326" customFormat="1" ht="15">
      <c r="A446" s="408"/>
      <c r="B446" s="438"/>
      <c r="C446" s="429"/>
      <c r="D446" s="405"/>
      <c r="E446" s="305" t="s">
        <v>18</v>
      </c>
      <c r="F446" s="161">
        <v>1982013.129999999</v>
      </c>
      <c r="G446" s="356"/>
      <c r="H446" s="357"/>
      <c r="I446" s="358"/>
      <c r="J446" s="358"/>
      <c r="K446" s="359"/>
      <c r="L446" s="325"/>
    </row>
    <row r="447" spans="1:12" s="326" customFormat="1" ht="13.5" customHeight="1">
      <c r="A447" s="406" t="s">
        <v>734</v>
      </c>
      <c r="B447" s="436" t="s">
        <v>361</v>
      </c>
      <c r="C447" s="427"/>
      <c r="D447" s="403"/>
      <c r="E447" s="365" t="s">
        <v>34</v>
      </c>
      <c r="F447" s="160">
        <f>SUM(F448:F449)</f>
        <v>14749991.74</v>
      </c>
      <c r="G447" s="356"/>
      <c r="H447" s="357"/>
      <c r="I447" s="358"/>
      <c r="J447" s="358"/>
      <c r="K447" s="359"/>
      <c r="L447" s="325"/>
    </row>
    <row r="448" spans="1:12" s="326" customFormat="1" ht="15">
      <c r="A448" s="407"/>
      <c r="B448" s="437"/>
      <c r="C448" s="428"/>
      <c r="D448" s="404"/>
      <c r="E448" s="305" t="s">
        <v>75</v>
      </c>
      <c r="F448" s="246">
        <v>13274978</v>
      </c>
      <c r="G448" s="356"/>
      <c r="H448" s="357"/>
      <c r="I448" s="358"/>
      <c r="J448" s="358"/>
      <c r="K448" s="359"/>
      <c r="L448" s="325"/>
    </row>
    <row r="449" spans="1:12" s="326" customFormat="1" ht="15">
      <c r="A449" s="408"/>
      <c r="B449" s="438"/>
      <c r="C449" s="429"/>
      <c r="D449" s="405"/>
      <c r="E449" s="305" t="s">
        <v>18</v>
      </c>
      <c r="F449" s="161">
        <v>1475013.7400000002</v>
      </c>
      <c r="G449" s="356"/>
      <c r="H449" s="357"/>
      <c r="I449" s="358"/>
      <c r="J449" s="358"/>
      <c r="K449" s="359"/>
      <c r="L449" s="325"/>
    </row>
    <row r="450" spans="1:12" s="326" customFormat="1" ht="13.5" customHeight="1">
      <c r="A450" s="406" t="s">
        <v>735</v>
      </c>
      <c r="B450" s="436" t="s">
        <v>362</v>
      </c>
      <c r="C450" s="427"/>
      <c r="D450" s="403"/>
      <c r="E450" s="365" t="s">
        <v>34</v>
      </c>
      <c r="F450" s="160">
        <f>SUM(F451:F452)</f>
        <v>16219974.38</v>
      </c>
      <c r="G450" s="356"/>
      <c r="H450" s="357"/>
      <c r="I450" s="358"/>
      <c r="J450" s="358"/>
      <c r="K450" s="359"/>
      <c r="L450" s="325"/>
    </row>
    <row r="451" spans="1:12" s="326" customFormat="1" ht="15">
      <c r="A451" s="407"/>
      <c r="B451" s="437"/>
      <c r="C451" s="428"/>
      <c r="D451" s="404"/>
      <c r="E451" s="305" t="s">
        <v>75</v>
      </c>
      <c r="F451" s="246">
        <v>14597976.94</v>
      </c>
      <c r="G451" s="356"/>
      <c r="H451" s="357"/>
      <c r="I451" s="358"/>
      <c r="J451" s="358"/>
      <c r="K451" s="359"/>
      <c r="L451" s="325"/>
    </row>
    <row r="452" spans="1:12" s="326" customFormat="1" ht="15">
      <c r="A452" s="408"/>
      <c r="B452" s="438"/>
      <c r="C452" s="429"/>
      <c r="D452" s="405"/>
      <c r="E452" s="305" t="s">
        <v>18</v>
      </c>
      <c r="F452" s="161">
        <v>1621997.4400000013</v>
      </c>
      <c r="G452" s="356"/>
      <c r="H452" s="357"/>
      <c r="I452" s="358"/>
      <c r="J452" s="358"/>
      <c r="K452" s="359"/>
      <c r="L452" s="325"/>
    </row>
    <row r="453" spans="1:12" s="326" customFormat="1" ht="13.5" customHeight="1">
      <c r="A453" s="406" t="s">
        <v>736</v>
      </c>
      <c r="B453" s="436" t="s">
        <v>363</v>
      </c>
      <c r="C453" s="427"/>
      <c r="D453" s="403"/>
      <c r="E453" s="365" t="s">
        <v>34</v>
      </c>
      <c r="F453" s="160">
        <f>SUM(F454:F455)</f>
        <v>38149987.64</v>
      </c>
      <c r="G453" s="356"/>
      <c r="H453" s="357"/>
      <c r="I453" s="358"/>
      <c r="J453" s="358"/>
      <c r="K453" s="359"/>
      <c r="L453" s="325"/>
    </row>
    <row r="454" spans="1:12" s="326" customFormat="1" ht="15">
      <c r="A454" s="407"/>
      <c r="B454" s="437"/>
      <c r="C454" s="428"/>
      <c r="D454" s="404"/>
      <c r="E454" s="305" t="s">
        <v>75</v>
      </c>
      <c r="F454" s="246">
        <v>34334974.31</v>
      </c>
      <c r="G454" s="356"/>
      <c r="H454" s="357"/>
      <c r="I454" s="358"/>
      <c r="J454" s="358"/>
      <c r="K454" s="359"/>
      <c r="L454" s="325"/>
    </row>
    <row r="455" spans="1:12" s="326" customFormat="1" ht="15">
      <c r="A455" s="408"/>
      <c r="B455" s="438"/>
      <c r="C455" s="429"/>
      <c r="D455" s="405"/>
      <c r="E455" s="305" t="s">
        <v>18</v>
      </c>
      <c r="F455" s="161">
        <v>3815013.329999998</v>
      </c>
      <c r="G455" s="356"/>
      <c r="H455" s="357"/>
      <c r="I455" s="358"/>
      <c r="J455" s="358"/>
      <c r="K455" s="359"/>
      <c r="L455" s="325"/>
    </row>
    <row r="456" spans="1:12" s="326" customFormat="1" ht="13.5" customHeight="1">
      <c r="A456" s="406" t="s">
        <v>737</v>
      </c>
      <c r="B456" s="436" t="s">
        <v>364</v>
      </c>
      <c r="C456" s="427"/>
      <c r="D456" s="403"/>
      <c r="E456" s="365" t="s">
        <v>34</v>
      </c>
      <c r="F456" s="160">
        <f>SUM(F457:F458)</f>
        <v>22949962.78</v>
      </c>
      <c r="G456" s="356"/>
      <c r="H456" s="357"/>
      <c r="I456" s="358"/>
      <c r="J456" s="358"/>
      <c r="K456" s="359"/>
      <c r="L456" s="325"/>
    </row>
    <row r="457" spans="1:12" s="326" customFormat="1" ht="15">
      <c r="A457" s="407"/>
      <c r="B457" s="437"/>
      <c r="C457" s="428"/>
      <c r="D457" s="404"/>
      <c r="E457" s="305" t="s">
        <v>75</v>
      </c>
      <c r="F457" s="246">
        <v>20654966.5</v>
      </c>
      <c r="G457" s="356"/>
      <c r="H457" s="357"/>
      <c r="I457" s="358"/>
      <c r="J457" s="358"/>
      <c r="K457" s="359"/>
      <c r="L457" s="325"/>
    </row>
    <row r="458" spans="1:12" s="326" customFormat="1" ht="15">
      <c r="A458" s="408"/>
      <c r="B458" s="438"/>
      <c r="C458" s="429"/>
      <c r="D458" s="405"/>
      <c r="E458" s="305" t="s">
        <v>18</v>
      </c>
      <c r="F458" s="161">
        <v>2294996.280000001</v>
      </c>
      <c r="G458" s="356"/>
      <c r="H458" s="357"/>
      <c r="I458" s="358"/>
      <c r="J458" s="358"/>
      <c r="K458" s="359"/>
      <c r="L458" s="325"/>
    </row>
    <row r="459" spans="1:12" s="326" customFormat="1" ht="13.5" customHeight="1">
      <c r="A459" s="406" t="s">
        <v>738</v>
      </c>
      <c r="B459" s="436" t="s">
        <v>365</v>
      </c>
      <c r="C459" s="427"/>
      <c r="D459" s="403"/>
      <c r="E459" s="305" t="s">
        <v>34</v>
      </c>
      <c r="F459" s="160">
        <f>SUM(F460:F461)</f>
        <v>8839783.56</v>
      </c>
      <c r="G459" s="356"/>
      <c r="H459" s="357"/>
      <c r="I459" s="358"/>
      <c r="J459" s="358"/>
      <c r="K459" s="359"/>
      <c r="L459" s="325"/>
    </row>
    <row r="460" spans="1:12" s="326" customFormat="1" ht="15">
      <c r="A460" s="407"/>
      <c r="B460" s="437"/>
      <c r="C460" s="428"/>
      <c r="D460" s="404"/>
      <c r="E460" s="305" t="s">
        <v>75</v>
      </c>
      <c r="F460" s="246">
        <v>7955805.2</v>
      </c>
      <c r="G460" s="356"/>
      <c r="H460" s="357"/>
      <c r="I460" s="358"/>
      <c r="J460" s="358"/>
      <c r="K460" s="359"/>
      <c r="L460" s="325"/>
    </row>
    <row r="461" spans="1:12" s="326" customFormat="1" ht="15">
      <c r="A461" s="408"/>
      <c r="B461" s="438"/>
      <c r="C461" s="429"/>
      <c r="D461" s="405"/>
      <c r="E461" s="305" t="s">
        <v>18</v>
      </c>
      <c r="F461" s="161">
        <v>883978.3600000003</v>
      </c>
      <c r="G461" s="356"/>
      <c r="H461" s="357"/>
      <c r="I461" s="358"/>
      <c r="J461" s="358"/>
      <c r="K461" s="359"/>
      <c r="L461" s="325"/>
    </row>
    <row r="462" spans="1:12" s="326" customFormat="1" ht="13.5" customHeight="1">
      <c r="A462" s="406" t="s">
        <v>739</v>
      </c>
      <c r="B462" s="436" t="s">
        <v>366</v>
      </c>
      <c r="C462" s="427"/>
      <c r="D462" s="403"/>
      <c r="E462" s="305" t="s">
        <v>34</v>
      </c>
      <c r="F462" s="160">
        <f>SUM(F463:F464)</f>
        <v>13879998.98</v>
      </c>
      <c r="G462" s="356"/>
      <c r="H462" s="357"/>
      <c r="I462" s="358"/>
      <c r="J462" s="358"/>
      <c r="K462" s="359"/>
      <c r="L462" s="325"/>
    </row>
    <row r="463" spans="1:12" s="326" customFormat="1" ht="15">
      <c r="A463" s="407"/>
      <c r="B463" s="437"/>
      <c r="C463" s="428"/>
      <c r="D463" s="404"/>
      <c r="E463" s="305" t="s">
        <v>75</v>
      </c>
      <c r="F463" s="246">
        <v>12491999.08</v>
      </c>
      <c r="G463" s="356"/>
      <c r="H463" s="357"/>
      <c r="I463" s="358"/>
      <c r="J463" s="358"/>
      <c r="K463" s="359"/>
      <c r="L463" s="325"/>
    </row>
    <row r="464" spans="1:12" s="326" customFormat="1" ht="15">
      <c r="A464" s="408"/>
      <c r="B464" s="438"/>
      <c r="C464" s="429"/>
      <c r="D464" s="405"/>
      <c r="E464" s="305" t="s">
        <v>18</v>
      </c>
      <c r="F464" s="161">
        <v>1387999.9000000004</v>
      </c>
      <c r="G464" s="356"/>
      <c r="H464" s="357"/>
      <c r="I464" s="358"/>
      <c r="J464" s="358"/>
      <c r="K464" s="359"/>
      <c r="L464" s="325"/>
    </row>
    <row r="465" spans="1:12" s="326" customFormat="1" ht="13.5" customHeight="1">
      <c r="A465" s="406" t="s">
        <v>740</v>
      </c>
      <c r="B465" s="436" t="s">
        <v>367</v>
      </c>
      <c r="C465" s="427"/>
      <c r="D465" s="403"/>
      <c r="E465" s="305" t="s">
        <v>34</v>
      </c>
      <c r="F465" s="160">
        <f>SUM(F466:F467)</f>
        <v>17819995.38</v>
      </c>
      <c r="G465" s="356"/>
      <c r="H465" s="357"/>
      <c r="I465" s="358"/>
      <c r="J465" s="358"/>
      <c r="K465" s="359"/>
      <c r="L465" s="325"/>
    </row>
    <row r="466" spans="1:12" s="326" customFormat="1" ht="15">
      <c r="A466" s="407"/>
      <c r="B466" s="437"/>
      <c r="C466" s="428"/>
      <c r="D466" s="404"/>
      <c r="E466" s="305" t="s">
        <v>75</v>
      </c>
      <c r="F466" s="246">
        <v>16037995.84</v>
      </c>
      <c r="G466" s="356"/>
      <c r="H466" s="357"/>
      <c r="I466" s="358"/>
      <c r="J466" s="358"/>
      <c r="K466" s="359"/>
      <c r="L466" s="325"/>
    </row>
    <row r="467" spans="1:12" s="326" customFormat="1" ht="15">
      <c r="A467" s="408"/>
      <c r="B467" s="438"/>
      <c r="C467" s="429"/>
      <c r="D467" s="405"/>
      <c r="E467" s="305" t="s">
        <v>18</v>
      </c>
      <c r="F467" s="161">
        <v>1781999.539999999</v>
      </c>
      <c r="G467" s="356"/>
      <c r="H467" s="357"/>
      <c r="I467" s="358"/>
      <c r="J467" s="358"/>
      <c r="K467" s="359"/>
      <c r="L467" s="325"/>
    </row>
    <row r="468" spans="1:12" s="326" customFormat="1" ht="13.5" customHeight="1">
      <c r="A468" s="406" t="s">
        <v>741</v>
      </c>
      <c r="B468" s="436" t="s">
        <v>368</v>
      </c>
      <c r="C468" s="427"/>
      <c r="D468" s="403"/>
      <c r="E468" s="305" t="s">
        <v>34</v>
      </c>
      <c r="F468" s="160">
        <f>SUM(F469:F470)</f>
        <v>13949997.76</v>
      </c>
      <c r="G468" s="356"/>
      <c r="H468" s="357"/>
      <c r="I468" s="358"/>
      <c r="J468" s="358"/>
      <c r="K468" s="359"/>
      <c r="L468" s="325"/>
    </row>
    <row r="469" spans="1:12" s="326" customFormat="1" ht="15">
      <c r="A469" s="407"/>
      <c r="B469" s="437"/>
      <c r="C469" s="428"/>
      <c r="D469" s="404"/>
      <c r="E469" s="305" t="s">
        <v>75</v>
      </c>
      <c r="F469" s="246">
        <v>12554997.98</v>
      </c>
      <c r="G469" s="356"/>
      <c r="H469" s="357"/>
      <c r="I469" s="358"/>
      <c r="J469" s="358"/>
      <c r="K469" s="359"/>
      <c r="L469" s="325"/>
    </row>
    <row r="470" spans="1:12" s="326" customFormat="1" ht="15">
      <c r="A470" s="408"/>
      <c r="B470" s="438"/>
      <c r="C470" s="429"/>
      <c r="D470" s="405"/>
      <c r="E470" s="305" t="s">
        <v>18</v>
      </c>
      <c r="F470" s="161">
        <v>1394999.7799999993</v>
      </c>
      <c r="G470" s="356"/>
      <c r="H470" s="357"/>
      <c r="I470" s="358"/>
      <c r="J470" s="358"/>
      <c r="K470" s="359"/>
      <c r="L470" s="325"/>
    </row>
    <row r="471" spans="1:12" s="326" customFormat="1" ht="13.5" customHeight="1">
      <c r="A471" s="406" t="s">
        <v>742</v>
      </c>
      <c r="B471" s="436" t="s">
        <v>369</v>
      </c>
      <c r="C471" s="427"/>
      <c r="D471" s="403"/>
      <c r="E471" s="305" t="s">
        <v>34</v>
      </c>
      <c r="F471" s="160">
        <f>SUM(F472:F473)</f>
        <v>56999555.44</v>
      </c>
      <c r="G471" s="356"/>
      <c r="H471" s="357"/>
      <c r="I471" s="358"/>
      <c r="J471" s="358"/>
      <c r="K471" s="359"/>
      <c r="L471" s="325"/>
    </row>
    <row r="472" spans="1:12" s="326" customFormat="1" ht="15">
      <c r="A472" s="407"/>
      <c r="B472" s="437"/>
      <c r="C472" s="428"/>
      <c r="D472" s="404"/>
      <c r="E472" s="305" t="s">
        <v>75</v>
      </c>
      <c r="F472" s="246">
        <v>51299585.33</v>
      </c>
      <c r="G472" s="356"/>
      <c r="H472" s="357"/>
      <c r="I472" s="358"/>
      <c r="J472" s="358"/>
      <c r="K472" s="359"/>
      <c r="L472" s="325"/>
    </row>
    <row r="473" spans="1:12" s="326" customFormat="1" ht="15">
      <c r="A473" s="408"/>
      <c r="B473" s="438"/>
      <c r="C473" s="429"/>
      <c r="D473" s="405"/>
      <c r="E473" s="305" t="s">
        <v>18</v>
      </c>
      <c r="F473" s="161">
        <v>5699970.109999999</v>
      </c>
      <c r="G473" s="356"/>
      <c r="H473" s="357"/>
      <c r="I473" s="358"/>
      <c r="J473" s="358"/>
      <c r="K473" s="359"/>
      <c r="L473" s="325"/>
    </row>
    <row r="474" spans="1:12" s="326" customFormat="1" ht="15" hidden="1">
      <c r="A474" s="185" t="s">
        <v>743</v>
      </c>
      <c r="B474" s="312" t="s">
        <v>86</v>
      </c>
      <c r="C474" s="315"/>
      <c r="D474" s="318"/>
      <c r="E474" s="305" t="s">
        <v>75</v>
      </c>
      <c r="F474" s="161">
        <f>750000000-F393-F396-F399-F403-F406-F409-F412-F415-F418-F421-F424-F427-F430</f>
        <v>44128539.25000012</v>
      </c>
      <c r="G474" s="356"/>
      <c r="H474" s="357"/>
      <c r="I474" s="358"/>
      <c r="J474" s="358"/>
      <c r="K474" s="359"/>
      <c r="L474" s="325"/>
    </row>
    <row r="475" spans="1:12" s="326" customFormat="1" ht="13.5" customHeight="1" hidden="1">
      <c r="A475" s="467">
        <v>6</v>
      </c>
      <c r="B475" s="470" t="s">
        <v>145</v>
      </c>
      <c r="C475" s="464"/>
      <c r="D475" s="378"/>
      <c r="E475" s="81" t="s">
        <v>34</v>
      </c>
      <c r="F475" s="164">
        <f>SUM(F476:F477)</f>
        <v>373876315.71000004</v>
      </c>
      <c r="G475" s="356"/>
      <c r="H475" s="357"/>
      <c r="I475" s="358"/>
      <c r="J475" s="358"/>
      <c r="K475" s="359"/>
      <c r="L475" s="325"/>
    </row>
    <row r="476" spans="1:12" s="326" customFormat="1" ht="15" hidden="1">
      <c r="A476" s="468"/>
      <c r="B476" s="471"/>
      <c r="C476" s="465"/>
      <c r="D476" s="379"/>
      <c r="E476" s="333" t="s">
        <v>75</v>
      </c>
      <c r="F476" s="165">
        <f>SUM(F712,F715,F721)+SUM(F496,F499,F502,F505,F508,F511,F514,F517,F520,F523,F526,F529,F532,F535,F538,F541)+SUM(F544,F547,F550,F553,F556,F559,F562,F565,F568,F571,F574,F577,F580,F583,F586,F592,F595)+SUM(F598,F601,F604,F607,F610,F613,F616,F619,F622,F625,F628,F631,F634,F637,F640,F643,F646,F649,F652,F655,F658,F661,F664)+SUM(F667,F670,F673,F676,F679,F682,F685,F688,F694,F697,F700,F703,F706,F709,F718,F724)+SUM(F727,F730,F733,F736,F739,F742,F745,F748,F751,F754,F757,F760,F763,F766,F769,F772,F775,F778,F781)+SUM(F784,F787,F790,F793,F796,F799,F802,F805,F846)+F589+F691+SUM(F808,F811,F814,F817,F820,F823,F826,F829,F832,F835,F838,F841,F844)</f>
        <v>350000000.00000006</v>
      </c>
      <c r="G476" s="356"/>
      <c r="H476" s="357"/>
      <c r="I476" s="358"/>
      <c r="J476" s="358"/>
      <c r="K476" s="359"/>
      <c r="L476" s="325"/>
    </row>
    <row r="477" spans="1:12" s="326" customFormat="1" ht="15" hidden="1">
      <c r="A477" s="469"/>
      <c r="B477" s="472"/>
      <c r="C477" s="466"/>
      <c r="D477" s="380"/>
      <c r="E477" s="333" t="s">
        <v>18</v>
      </c>
      <c r="F477" s="165">
        <f>F497+F500+F503+F506+F509+F512+F515+F518+F521+F524+F527+F530+F533+F536+F539+F542+F545+F548+F551+F554+F557+F560+F563+F566+F569+F572+F575+F578+F581+F584+F587+F590+F593+F596+F599+F602+F605+F608+F611+F617+F614+F620+F623+F626+F629+F632+F635+F638+F641+F644+F647+F650+F653+F656+F659+F662+F665+F668+F671+F674+F677+F680+F683+F686+F689+F692+F695+F698+F701+F704+F707+F710+F713+F716+F719+F722+F725+F728+F731+F734+F737+F740+F743+F746+F749+F752+F755+F758+F761+F764+F767+F770+F773+F776+F779+F782+F785+F788+F791+F794+F797+F800+F803+F806+F809+F812+F815+F818+F821+F824+F827+F830+F833+F836+F839+F842+F845</f>
        <v>23876315.71000001</v>
      </c>
      <c r="G477" s="356"/>
      <c r="H477" s="357"/>
      <c r="I477" s="358"/>
      <c r="J477" s="358"/>
      <c r="K477" s="359"/>
      <c r="L477" s="325"/>
    </row>
    <row r="478" spans="1:12" s="326" customFormat="1" ht="30">
      <c r="A478" s="191" t="s">
        <v>743</v>
      </c>
      <c r="B478" s="240" t="s">
        <v>407</v>
      </c>
      <c r="C478" s="315"/>
      <c r="D478" s="318"/>
      <c r="E478" s="305" t="s">
        <v>74</v>
      </c>
      <c r="F478" s="237">
        <v>22349502.08</v>
      </c>
      <c r="G478" s="356"/>
      <c r="H478" s="357"/>
      <c r="I478" s="358"/>
      <c r="J478" s="358"/>
      <c r="K478" s="359"/>
      <c r="L478" s="325"/>
    </row>
    <row r="479" spans="1:12" s="326" customFormat="1" ht="45">
      <c r="A479" s="172" t="s">
        <v>744</v>
      </c>
      <c r="B479" s="240" t="s">
        <v>408</v>
      </c>
      <c r="C479" s="315"/>
      <c r="D479" s="318"/>
      <c r="E479" s="305" t="s">
        <v>74</v>
      </c>
      <c r="F479" s="231">
        <v>23461883.36</v>
      </c>
      <c r="G479" s="356"/>
      <c r="H479" s="357"/>
      <c r="I479" s="358"/>
      <c r="J479" s="358"/>
      <c r="K479" s="359"/>
      <c r="L479" s="325"/>
    </row>
    <row r="480" spans="1:12" s="326" customFormat="1" ht="45">
      <c r="A480" s="191" t="s">
        <v>745</v>
      </c>
      <c r="B480" s="240" t="s">
        <v>409</v>
      </c>
      <c r="C480" s="315"/>
      <c r="D480" s="318"/>
      <c r="E480" s="305" t="s">
        <v>74</v>
      </c>
      <c r="F480" s="231">
        <v>51871722.66</v>
      </c>
      <c r="G480" s="356"/>
      <c r="H480" s="357"/>
      <c r="I480" s="358"/>
      <c r="J480" s="358"/>
      <c r="K480" s="359"/>
      <c r="L480" s="325"/>
    </row>
    <row r="481" spans="1:12" s="326" customFormat="1" ht="45">
      <c r="A481" s="172" t="s">
        <v>746</v>
      </c>
      <c r="B481" s="240" t="s">
        <v>410</v>
      </c>
      <c r="C481" s="315"/>
      <c r="D481" s="318"/>
      <c r="E481" s="305" t="s">
        <v>74</v>
      </c>
      <c r="F481" s="231">
        <v>30231372.26</v>
      </c>
      <c r="G481" s="356"/>
      <c r="H481" s="357"/>
      <c r="I481" s="358"/>
      <c r="J481" s="358"/>
      <c r="K481" s="359"/>
      <c r="L481" s="325"/>
    </row>
    <row r="482" spans="1:12" s="326" customFormat="1" ht="45">
      <c r="A482" s="191" t="s">
        <v>747</v>
      </c>
      <c r="B482" s="240" t="s">
        <v>411</v>
      </c>
      <c r="C482" s="315"/>
      <c r="D482" s="318"/>
      <c r="E482" s="305" t="s">
        <v>74</v>
      </c>
      <c r="F482" s="231">
        <v>23759913.6</v>
      </c>
      <c r="G482" s="356"/>
      <c r="H482" s="357"/>
      <c r="I482" s="358"/>
      <c r="J482" s="358"/>
      <c r="K482" s="359"/>
      <c r="L482" s="325"/>
    </row>
    <row r="483" spans="1:12" s="326" customFormat="1" ht="45">
      <c r="A483" s="172" t="s">
        <v>748</v>
      </c>
      <c r="B483" s="240" t="s">
        <v>412</v>
      </c>
      <c r="C483" s="315"/>
      <c r="D483" s="318"/>
      <c r="E483" s="305" t="s">
        <v>74</v>
      </c>
      <c r="F483" s="231">
        <v>23758911.78</v>
      </c>
      <c r="G483" s="356"/>
      <c r="H483" s="357"/>
      <c r="I483" s="358"/>
      <c r="J483" s="358"/>
      <c r="K483" s="359"/>
      <c r="L483" s="325"/>
    </row>
    <row r="484" spans="1:12" s="326" customFormat="1" ht="30">
      <c r="A484" s="191" t="s">
        <v>749</v>
      </c>
      <c r="B484" s="240" t="s">
        <v>413</v>
      </c>
      <c r="C484" s="315"/>
      <c r="D484" s="318"/>
      <c r="E484" s="305" t="s">
        <v>74</v>
      </c>
      <c r="F484" s="231">
        <v>48538957.8</v>
      </c>
      <c r="G484" s="356"/>
      <c r="H484" s="357"/>
      <c r="I484" s="358"/>
      <c r="J484" s="358"/>
      <c r="K484" s="359"/>
      <c r="L484" s="325"/>
    </row>
    <row r="485" spans="1:12" s="326" customFormat="1" ht="45">
      <c r="A485" s="172" t="s">
        <v>750</v>
      </c>
      <c r="B485" s="240" t="s">
        <v>414</v>
      </c>
      <c r="C485" s="315"/>
      <c r="D485" s="318"/>
      <c r="E485" s="305" t="s">
        <v>74</v>
      </c>
      <c r="F485" s="231">
        <v>7559279.42</v>
      </c>
      <c r="G485" s="356"/>
      <c r="H485" s="357"/>
      <c r="I485" s="358"/>
      <c r="J485" s="358"/>
      <c r="K485" s="359"/>
      <c r="L485" s="325"/>
    </row>
    <row r="486" spans="1:12" s="326" customFormat="1" ht="45">
      <c r="A486" s="191" t="s">
        <v>751</v>
      </c>
      <c r="B486" s="240" t="s">
        <v>415</v>
      </c>
      <c r="C486" s="315"/>
      <c r="D486" s="318"/>
      <c r="E486" s="305" t="s">
        <v>74</v>
      </c>
      <c r="F486" s="231">
        <v>15053321.36</v>
      </c>
      <c r="G486" s="356"/>
      <c r="H486" s="357"/>
      <c r="I486" s="358"/>
      <c r="J486" s="358"/>
      <c r="K486" s="359"/>
      <c r="L486" s="325"/>
    </row>
    <row r="487" spans="1:12" s="326" customFormat="1" ht="45">
      <c r="A487" s="172" t="s">
        <v>752</v>
      </c>
      <c r="B487" s="240" t="s">
        <v>416</v>
      </c>
      <c r="C487" s="315"/>
      <c r="D487" s="318"/>
      <c r="E487" s="305" t="s">
        <v>74</v>
      </c>
      <c r="F487" s="231">
        <v>7719366.48</v>
      </c>
      <c r="G487" s="356"/>
      <c r="H487" s="357"/>
      <c r="I487" s="358"/>
      <c r="J487" s="358"/>
      <c r="K487" s="359"/>
      <c r="L487" s="325"/>
    </row>
    <row r="488" spans="1:12" s="326" customFormat="1" ht="45">
      <c r="A488" s="191" t="s">
        <v>753</v>
      </c>
      <c r="B488" s="240" t="s">
        <v>417</v>
      </c>
      <c r="C488" s="315"/>
      <c r="D488" s="318"/>
      <c r="E488" s="305" t="s">
        <v>74</v>
      </c>
      <c r="F488" s="231">
        <v>39580618.46</v>
      </c>
      <c r="G488" s="356"/>
      <c r="H488" s="357"/>
      <c r="I488" s="358"/>
      <c r="J488" s="358"/>
      <c r="K488" s="359"/>
      <c r="L488" s="325"/>
    </row>
    <row r="489" spans="1:12" s="326" customFormat="1" ht="45">
      <c r="A489" s="172" t="s">
        <v>754</v>
      </c>
      <c r="B489" s="240" t="s">
        <v>418</v>
      </c>
      <c r="C489" s="315"/>
      <c r="D489" s="318"/>
      <c r="E489" s="305" t="s">
        <v>74</v>
      </c>
      <c r="F489" s="231">
        <v>21848937.82</v>
      </c>
      <c r="G489" s="356"/>
      <c r="H489" s="357"/>
      <c r="I489" s="358"/>
      <c r="J489" s="358"/>
      <c r="K489" s="359"/>
      <c r="L489" s="325"/>
    </row>
    <row r="490" spans="1:12" s="326" customFormat="1" ht="60">
      <c r="A490" s="191" t="s">
        <v>755</v>
      </c>
      <c r="B490" s="240" t="s">
        <v>419</v>
      </c>
      <c r="C490" s="315"/>
      <c r="D490" s="318"/>
      <c r="E490" s="305" t="s">
        <v>74</v>
      </c>
      <c r="F490" s="231">
        <v>19426285.72</v>
      </c>
      <c r="G490" s="356"/>
      <c r="H490" s="357"/>
      <c r="I490" s="358"/>
      <c r="J490" s="358"/>
      <c r="K490" s="359"/>
      <c r="L490" s="325"/>
    </row>
    <row r="491" spans="1:12" s="326" customFormat="1" ht="45">
      <c r="A491" s="172" t="s">
        <v>756</v>
      </c>
      <c r="B491" s="240" t="s">
        <v>420</v>
      </c>
      <c r="C491" s="315"/>
      <c r="D491" s="318"/>
      <c r="E491" s="305" t="s">
        <v>74</v>
      </c>
      <c r="F491" s="231">
        <v>16140547.4</v>
      </c>
      <c r="G491" s="356"/>
      <c r="H491" s="357"/>
      <c r="I491" s="358"/>
      <c r="J491" s="358"/>
      <c r="K491" s="359"/>
      <c r="L491" s="325"/>
    </row>
    <row r="492" spans="1:12" s="326" customFormat="1" ht="30">
      <c r="A492" s="191" t="s">
        <v>757</v>
      </c>
      <c r="B492" s="240" t="s">
        <v>421</v>
      </c>
      <c r="C492" s="315"/>
      <c r="D492" s="318"/>
      <c r="E492" s="305" t="s">
        <v>74</v>
      </c>
      <c r="F492" s="231">
        <v>20262853.8</v>
      </c>
      <c r="G492" s="356"/>
      <c r="H492" s="357"/>
      <c r="I492" s="358"/>
      <c r="J492" s="358"/>
      <c r="K492" s="359"/>
      <c r="L492" s="325"/>
    </row>
    <row r="493" spans="1:12" s="326" customFormat="1" ht="45">
      <c r="A493" s="172" t="s">
        <v>758</v>
      </c>
      <c r="B493" s="240" t="s">
        <v>422</v>
      </c>
      <c r="C493" s="315"/>
      <c r="D493" s="318"/>
      <c r="E493" s="305" t="s">
        <v>74</v>
      </c>
      <c r="F493" s="231">
        <v>18359863.08</v>
      </c>
      <c r="G493" s="356"/>
      <c r="H493" s="357"/>
      <c r="I493" s="358"/>
      <c r="J493" s="358"/>
      <c r="K493" s="359"/>
      <c r="L493" s="325"/>
    </row>
    <row r="494" spans="1:12" s="326" customFormat="1" ht="45">
      <c r="A494" s="191" t="s">
        <v>759</v>
      </c>
      <c r="B494" s="240" t="s">
        <v>423</v>
      </c>
      <c r="C494" s="315"/>
      <c r="D494" s="318"/>
      <c r="E494" s="316" t="s">
        <v>74</v>
      </c>
      <c r="F494" s="242">
        <v>28027824.92</v>
      </c>
      <c r="G494" s="356"/>
      <c r="H494" s="357"/>
      <c r="I494" s="358"/>
      <c r="J494" s="358"/>
      <c r="K494" s="359"/>
      <c r="L494" s="325"/>
    </row>
    <row r="495" spans="1:12" s="326" customFormat="1" ht="15">
      <c r="A495" s="406" t="s">
        <v>760</v>
      </c>
      <c r="B495" s="449" t="s">
        <v>446</v>
      </c>
      <c r="C495" s="432"/>
      <c r="D495" s="432"/>
      <c r="E495" s="81" t="s">
        <v>34</v>
      </c>
      <c r="F495" s="165">
        <f>SUM(F496:F497)</f>
        <v>3685026.72</v>
      </c>
      <c r="G495" s="356"/>
      <c r="H495" s="357"/>
      <c r="I495" s="358"/>
      <c r="J495" s="358"/>
      <c r="K495" s="359"/>
      <c r="L495" s="325"/>
    </row>
    <row r="496" spans="1:12" s="326" customFormat="1" ht="15">
      <c r="A496" s="407"/>
      <c r="B496" s="450"/>
      <c r="C496" s="433"/>
      <c r="D496" s="433"/>
      <c r="E496" s="323" t="s">
        <v>75</v>
      </c>
      <c r="F496" s="237">
        <v>3500000</v>
      </c>
      <c r="G496" s="356"/>
      <c r="H496" s="357"/>
      <c r="I496" s="358"/>
      <c r="J496" s="358"/>
      <c r="K496" s="359"/>
      <c r="L496" s="325"/>
    </row>
    <row r="497" spans="1:12" s="326" customFormat="1" ht="13.5" customHeight="1">
      <c r="A497" s="408"/>
      <c r="B497" s="451"/>
      <c r="C497" s="434"/>
      <c r="D497" s="434"/>
      <c r="E497" s="323" t="s">
        <v>18</v>
      </c>
      <c r="F497" s="237">
        <v>185026.7200000002</v>
      </c>
      <c r="G497" s="356"/>
      <c r="H497" s="357"/>
      <c r="I497" s="358"/>
      <c r="J497" s="358"/>
      <c r="K497" s="359"/>
      <c r="L497" s="325"/>
    </row>
    <row r="498" spans="1:12" s="326" customFormat="1" ht="13.5" customHeight="1">
      <c r="A498" s="406" t="s">
        <v>761</v>
      </c>
      <c r="B498" s="449" t="s">
        <v>447</v>
      </c>
      <c r="C498" s="432"/>
      <c r="D498" s="432"/>
      <c r="E498" s="81" t="s">
        <v>34</v>
      </c>
      <c r="F498" s="165">
        <f>SUM(F499:F500)</f>
        <v>2109978.06</v>
      </c>
      <c r="G498" s="356"/>
      <c r="H498" s="357"/>
      <c r="I498" s="358"/>
      <c r="J498" s="358"/>
      <c r="K498" s="359"/>
      <c r="L498" s="325"/>
    </row>
    <row r="499" spans="1:12" s="326" customFormat="1" ht="15">
      <c r="A499" s="407"/>
      <c r="B499" s="450"/>
      <c r="C499" s="433"/>
      <c r="D499" s="433"/>
      <c r="E499" s="323" t="s">
        <v>75</v>
      </c>
      <c r="F499" s="231">
        <v>1999978.06</v>
      </c>
      <c r="G499" s="356"/>
      <c r="H499" s="357"/>
      <c r="I499" s="358"/>
      <c r="J499" s="358"/>
      <c r="K499" s="359"/>
      <c r="L499" s="325"/>
    </row>
    <row r="500" spans="1:12" s="326" customFormat="1" ht="13.5" customHeight="1">
      <c r="A500" s="408"/>
      <c r="B500" s="451"/>
      <c r="C500" s="434"/>
      <c r="D500" s="434"/>
      <c r="E500" s="323" t="s">
        <v>18</v>
      </c>
      <c r="F500" s="231">
        <v>110000</v>
      </c>
      <c r="G500" s="356"/>
      <c r="H500" s="357"/>
      <c r="I500" s="358"/>
      <c r="J500" s="358"/>
      <c r="K500" s="359"/>
      <c r="L500" s="325"/>
    </row>
    <row r="501" spans="1:12" s="326" customFormat="1" ht="15">
      <c r="A501" s="406" t="s">
        <v>762</v>
      </c>
      <c r="B501" s="449" t="s">
        <v>448</v>
      </c>
      <c r="C501" s="464"/>
      <c r="D501" s="378"/>
      <c r="E501" s="81" t="s">
        <v>34</v>
      </c>
      <c r="F501" s="272">
        <f>SUM(F502:F503)</f>
        <v>4737033.3</v>
      </c>
      <c r="G501" s="356"/>
      <c r="H501" s="357"/>
      <c r="I501" s="358"/>
      <c r="J501" s="358"/>
      <c r="K501" s="359"/>
      <c r="L501" s="325"/>
    </row>
    <row r="502" spans="1:12" s="326" customFormat="1" ht="15">
      <c r="A502" s="407"/>
      <c r="B502" s="450"/>
      <c r="C502" s="465"/>
      <c r="D502" s="379"/>
      <c r="E502" s="323" t="s">
        <v>75</v>
      </c>
      <c r="F502" s="231">
        <v>4500000</v>
      </c>
      <c r="G502" s="356"/>
      <c r="H502" s="357"/>
      <c r="I502" s="358"/>
      <c r="J502" s="358"/>
      <c r="K502" s="359"/>
      <c r="L502" s="325"/>
    </row>
    <row r="503" spans="1:12" s="326" customFormat="1" ht="13.5" customHeight="1">
      <c r="A503" s="408"/>
      <c r="B503" s="451"/>
      <c r="C503" s="466"/>
      <c r="D503" s="380"/>
      <c r="E503" s="323" t="s">
        <v>18</v>
      </c>
      <c r="F503" s="231">
        <v>237033.2999999998</v>
      </c>
      <c r="G503" s="356"/>
      <c r="H503" s="357"/>
      <c r="I503" s="358"/>
      <c r="J503" s="358"/>
      <c r="K503" s="359"/>
      <c r="L503" s="325"/>
    </row>
    <row r="504" spans="1:12" s="326" customFormat="1" ht="13.5" customHeight="1">
      <c r="A504" s="406" t="s">
        <v>763</v>
      </c>
      <c r="B504" s="449" t="s">
        <v>449</v>
      </c>
      <c r="C504" s="464"/>
      <c r="D504" s="378"/>
      <c r="E504" s="81" t="s">
        <v>34</v>
      </c>
      <c r="F504" s="165">
        <f>SUM(F505:F506)</f>
        <v>3034584.76</v>
      </c>
      <c r="G504" s="356"/>
      <c r="H504" s="357"/>
      <c r="I504" s="358"/>
      <c r="J504" s="358"/>
      <c r="K504" s="359"/>
      <c r="L504" s="325"/>
    </row>
    <row r="505" spans="1:12" s="326" customFormat="1" ht="15">
      <c r="A505" s="407"/>
      <c r="B505" s="450"/>
      <c r="C505" s="465"/>
      <c r="D505" s="379"/>
      <c r="E505" s="323" t="s">
        <v>75</v>
      </c>
      <c r="F505" s="231">
        <v>2882855.52</v>
      </c>
      <c r="G505" s="356"/>
      <c r="H505" s="357"/>
      <c r="I505" s="358"/>
      <c r="J505" s="358"/>
      <c r="K505" s="359"/>
      <c r="L505" s="325"/>
    </row>
    <row r="506" spans="1:12" s="326" customFormat="1" ht="13.5" customHeight="1">
      <c r="A506" s="408"/>
      <c r="B506" s="451"/>
      <c r="C506" s="466"/>
      <c r="D506" s="380"/>
      <c r="E506" s="323" t="s">
        <v>18</v>
      </c>
      <c r="F506" s="231">
        <v>151729.23999999976</v>
      </c>
      <c r="G506" s="356"/>
      <c r="H506" s="357"/>
      <c r="I506" s="358"/>
      <c r="J506" s="358"/>
      <c r="K506" s="359"/>
      <c r="L506" s="325"/>
    </row>
    <row r="507" spans="1:12" s="326" customFormat="1" ht="13.5" customHeight="1">
      <c r="A507" s="406" t="s">
        <v>764</v>
      </c>
      <c r="B507" s="449" t="s">
        <v>450</v>
      </c>
      <c r="C507" s="464"/>
      <c r="D507" s="378"/>
      <c r="E507" s="81" t="s">
        <v>34</v>
      </c>
      <c r="F507" s="272">
        <f>SUM(F508:F509)</f>
        <v>11668074.82</v>
      </c>
      <c r="G507" s="356"/>
      <c r="H507" s="357"/>
      <c r="I507" s="358"/>
      <c r="J507" s="358"/>
      <c r="K507" s="359"/>
      <c r="L507" s="325"/>
    </row>
    <row r="508" spans="1:12" s="326" customFormat="1" ht="15">
      <c r="A508" s="407"/>
      <c r="B508" s="450"/>
      <c r="C508" s="465"/>
      <c r="D508" s="379"/>
      <c r="E508" s="323" t="s">
        <v>75</v>
      </c>
      <c r="F508" s="231">
        <v>11084671.07</v>
      </c>
      <c r="G508" s="356"/>
      <c r="H508" s="357"/>
      <c r="I508" s="358"/>
      <c r="J508" s="358"/>
      <c r="K508" s="359"/>
      <c r="L508" s="325"/>
    </row>
    <row r="509" spans="1:12" s="326" customFormat="1" ht="13.5" customHeight="1">
      <c r="A509" s="408"/>
      <c r="B509" s="451"/>
      <c r="C509" s="466"/>
      <c r="D509" s="380"/>
      <c r="E509" s="323" t="s">
        <v>18</v>
      </c>
      <c r="F509" s="231">
        <v>583403.75</v>
      </c>
      <c r="G509" s="356"/>
      <c r="H509" s="357"/>
      <c r="I509" s="358"/>
      <c r="J509" s="358"/>
      <c r="K509" s="359"/>
      <c r="L509" s="325"/>
    </row>
    <row r="510" spans="1:12" s="326" customFormat="1" ht="13.5" customHeight="1">
      <c r="A510" s="406" t="s">
        <v>765</v>
      </c>
      <c r="B510" s="449" t="s">
        <v>451</v>
      </c>
      <c r="C510" s="464"/>
      <c r="D510" s="378"/>
      <c r="E510" s="81" t="s">
        <v>34</v>
      </c>
      <c r="F510" s="164">
        <f>SUM(F511:F512)</f>
        <v>3000000</v>
      </c>
      <c r="G510" s="356"/>
      <c r="H510" s="357"/>
      <c r="I510" s="358"/>
      <c r="J510" s="358"/>
      <c r="K510" s="359"/>
      <c r="L510" s="325"/>
    </row>
    <row r="511" spans="1:12" s="326" customFormat="1" ht="15">
      <c r="A511" s="407"/>
      <c r="B511" s="450"/>
      <c r="C511" s="465"/>
      <c r="D511" s="379"/>
      <c r="E511" s="323" t="s">
        <v>75</v>
      </c>
      <c r="F511" s="231">
        <v>2850000</v>
      </c>
      <c r="G511" s="356"/>
      <c r="H511" s="357"/>
      <c r="I511" s="358"/>
      <c r="J511" s="358"/>
      <c r="K511" s="359"/>
      <c r="L511" s="325"/>
    </row>
    <row r="512" spans="1:12" s="326" customFormat="1" ht="13.5" customHeight="1">
      <c r="A512" s="408"/>
      <c r="B512" s="451"/>
      <c r="C512" s="466"/>
      <c r="D512" s="380"/>
      <c r="E512" s="323" t="s">
        <v>18</v>
      </c>
      <c r="F512" s="231">
        <v>150000</v>
      </c>
      <c r="G512" s="356"/>
      <c r="H512" s="357"/>
      <c r="I512" s="358"/>
      <c r="J512" s="358"/>
      <c r="K512" s="359"/>
      <c r="L512" s="325"/>
    </row>
    <row r="513" spans="1:12" s="326" customFormat="1" ht="13.5" customHeight="1">
      <c r="A513" s="406" t="s">
        <v>766</v>
      </c>
      <c r="B513" s="449" t="s">
        <v>452</v>
      </c>
      <c r="C513" s="432"/>
      <c r="D513" s="432"/>
      <c r="E513" s="81" t="s">
        <v>34</v>
      </c>
      <c r="F513" s="164">
        <f>SUM(F514:F515)</f>
        <v>2106017.98</v>
      </c>
      <c r="G513" s="356"/>
      <c r="H513" s="357"/>
      <c r="I513" s="358"/>
      <c r="J513" s="358"/>
      <c r="K513" s="359"/>
      <c r="L513" s="325"/>
    </row>
    <row r="514" spans="1:12" s="326" customFormat="1" ht="15">
      <c r="A514" s="407"/>
      <c r="B514" s="450"/>
      <c r="C514" s="433"/>
      <c r="D514" s="433"/>
      <c r="E514" s="323" t="s">
        <v>75</v>
      </c>
      <c r="F514" s="231">
        <v>2000000</v>
      </c>
      <c r="G514" s="356"/>
      <c r="H514" s="357"/>
      <c r="I514" s="358"/>
      <c r="J514" s="358"/>
      <c r="K514" s="359"/>
      <c r="L514" s="325"/>
    </row>
    <row r="515" spans="1:12" s="326" customFormat="1" ht="13.5" customHeight="1">
      <c r="A515" s="408"/>
      <c r="B515" s="451"/>
      <c r="C515" s="434"/>
      <c r="D515" s="434"/>
      <c r="E515" s="323" t="s">
        <v>18</v>
      </c>
      <c r="F515" s="231">
        <v>106017.97999999998</v>
      </c>
      <c r="G515" s="356"/>
      <c r="H515" s="357"/>
      <c r="I515" s="358"/>
      <c r="J515" s="358"/>
      <c r="K515" s="359"/>
      <c r="L515" s="325"/>
    </row>
    <row r="516" spans="1:12" s="326" customFormat="1" ht="13.5" customHeight="1">
      <c r="A516" s="406" t="s">
        <v>767</v>
      </c>
      <c r="B516" s="449" t="s">
        <v>453</v>
      </c>
      <c r="C516" s="432"/>
      <c r="D516" s="432"/>
      <c r="E516" s="81" t="s">
        <v>34</v>
      </c>
      <c r="F516" s="165">
        <f>SUM(F517:F518)</f>
        <v>8421510.14</v>
      </c>
      <c r="G516" s="356"/>
      <c r="H516" s="357"/>
      <c r="I516" s="358"/>
      <c r="J516" s="358"/>
      <c r="K516" s="359"/>
      <c r="L516" s="325"/>
    </row>
    <row r="517" spans="1:12" s="326" customFormat="1" ht="15">
      <c r="A517" s="407"/>
      <c r="B517" s="450"/>
      <c r="C517" s="433"/>
      <c r="D517" s="433"/>
      <c r="E517" s="323" t="s">
        <v>75</v>
      </c>
      <c r="F517" s="237">
        <v>8000000</v>
      </c>
      <c r="G517" s="356"/>
      <c r="H517" s="357"/>
      <c r="I517" s="358"/>
      <c r="J517" s="358"/>
      <c r="K517" s="359"/>
      <c r="L517" s="325"/>
    </row>
    <row r="518" spans="1:12" s="326" customFormat="1" ht="13.5" customHeight="1">
      <c r="A518" s="408"/>
      <c r="B518" s="451"/>
      <c r="C518" s="434"/>
      <c r="D518" s="434"/>
      <c r="E518" s="323" t="s">
        <v>18</v>
      </c>
      <c r="F518" s="237">
        <v>421510.1400000006</v>
      </c>
      <c r="G518" s="356"/>
      <c r="H518" s="357"/>
      <c r="I518" s="358"/>
      <c r="J518" s="358"/>
      <c r="K518" s="359"/>
      <c r="L518" s="325"/>
    </row>
    <row r="519" spans="1:12" s="326" customFormat="1" ht="13.5" customHeight="1">
      <c r="A519" s="406" t="s">
        <v>768</v>
      </c>
      <c r="B519" s="449" t="s">
        <v>454</v>
      </c>
      <c r="C519" s="432"/>
      <c r="D519" s="432"/>
      <c r="E519" s="81" t="s">
        <v>34</v>
      </c>
      <c r="F519" s="165">
        <f>SUM(F520:F521)</f>
        <v>2103450.3</v>
      </c>
      <c r="G519" s="356"/>
      <c r="H519" s="357"/>
      <c r="I519" s="358"/>
      <c r="J519" s="358"/>
      <c r="K519" s="359"/>
      <c r="L519" s="325"/>
    </row>
    <row r="520" spans="1:12" s="326" customFormat="1" ht="15">
      <c r="A520" s="407"/>
      <c r="B520" s="450"/>
      <c r="C520" s="433"/>
      <c r="D520" s="433"/>
      <c r="E520" s="323" t="s">
        <v>75</v>
      </c>
      <c r="F520" s="231">
        <v>1998277.78</v>
      </c>
      <c r="G520" s="356"/>
      <c r="H520" s="357"/>
      <c r="I520" s="358"/>
      <c r="J520" s="358"/>
      <c r="K520" s="359"/>
      <c r="L520" s="325"/>
    </row>
    <row r="521" spans="1:12" s="326" customFormat="1" ht="13.5" customHeight="1">
      <c r="A521" s="408"/>
      <c r="B521" s="451"/>
      <c r="C521" s="434"/>
      <c r="D521" s="434"/>
      <c r="E521" s="323" t="s">
        <v>18</v>
      </c>
      <c r="F521" s="231">
        <v>105172.51999999979</v>
      </c>
      <c r="G521" s="356"/>
      <c r="H521" s="357"/>
      <c r="I521" s="358"/>
      <c r="J521" s="358"/>
      <c r="K521" s="359"/>
      <c r="L521" s="325"/>
    </row>
    <row r="522" spans="1:12" s="326" customFormat="1" ht="15">
      <c r="A522" s="406" t="s">
        <v>769</v>
      </c>
      <c r="B522" s="449" t="s">
        <v>455</v>
      </c>
      <c r="C522" s="432"/>
      <c r="D522" s="432"/>
      <c r="E522" s="81" t="s">
        <v>34</v>
      </c>
      <c r="F522" s="272">
        <f>SUM(F523:F524)</f>
        <v>2106000</v>
      </c>
      <c r="G522" s="356"/>
      <c r="H522" s="357"/>
      <c r="I522" s="358"/>
      <c r="J522" s="358"/>
      <c r="K522" s="359"/>
      <c r="L522" s="325"/>
    </row>
    <row r="523" spans="1:12" s="326" customFormat="1" ht="15">
      <c r="A523" s="407"/>
      <c r="B523" s="450"/>
      <c r="C523" s="433"/>
      <c r="D523" s="433"/>
      <c r="E523" s="323" t="s">
        <v>75</v>
      </c>
      <c r="F523" s="231">
        <v>2000700</v>
      </c>
      <c r="G523" s="356"/>
      <c r="H523" s="357"/>
      <c r="I523" s="358"/>
      <c r="J523" s="358"/>
      <c r="K523" s="359"/>
      <c r="L523" s="325"/>
    </row>
    <row r="524" spans="1:12" s="326" customFormat="1" ht="13.5" customHeight="1">
      <c r="A524" s="408"/>
      <c r="B524" s="451"/>
      <c r="C524" s="434"/>
      <c r="D524" s="434"/>
      <c r="E524" s="323" t="s">
        <v>18</v>
      </c>
      <c r="F524" s="231">
        <v>105300</v>
      </c>
      <c r="G524" s="356"/>
      <c r="H524" s="357"/>
      <c r="I524" s="358"/>
      <c r="J524" s="358"/>
      <c r="K524" s="359"/>
      <c r="L524" s="325"/>
    </row>
    <row r="525" spans="1:12" s="326" customFormat="1" ht="13.5" customHeight="1">
      <c r="A525" s="406" t="s">
        <v>770</v>
      </c>
      <c r="B525" s="449" t="s">
        <v>456</v>
      </c>
      <c r="C525" s="432"/>
      <c r="D525" s="432"/>
      <c r="E525" s="81" t="s">
        <v>34</v>
      </c>
      <c r="F525" s="165">
        <f>SUM(F526:F527)</f>
        <v>3158316.02</v>
      </c>
      <c r="G525" s="356"/>
      <c r="H525" s="357"/>
      <c r="I525" s="358"/>
      <c r="J525" s="358"/>
      <c r="K525" s="359"/>
      <c r="L525" s="325"/>
    </row>
    <row r="526" spans="1:12" s="326" customFormat="1" ht="15">
      <c r="A526" s="407"/>
      <c r="B526" s="450"/>
      <c r="C526" s="433"/>
      <c r="D526" s="433"/>
      <c r="E526" s="323" t="s">
        <v>75</v>
      </c>
      <c r="F526" s="231">
        <v>3000000</v>
      </c>
      <c r="G526" s="356"/>
      <c r="H526" s="357"/>
      <c r="I526" s="358"/>
      <c r="J526" s="358"/>
      <c r="K526" s="359"/>
      <c r="L526" s="325"/>
    </row>
    <row r="527" spans="1:12" s="326" customFormat="1" ht="13.5" customHeight="1">
      <c r="A527" s="408"/>
      <c r="B527" s="451"/>
      <c r="C527" s="434"/>
      <c r="D527" s="434"/>
      <c r="E527" s="323" t="s">
        <v>18</v>
      </c>
      <c r="F527" s="231">
        <v>158316.02000000002</v>
      </c>
      <c r="G527" s="356"/>
      <c r="H527" s="357"/>
      <c r="I527" s="358"/>
      <c r="J527" s="358"/>
      <c r="K527" s="359"/>
      <c r="L527" s="325"/>
    </row>
    <row r="528" spans="1:12" s="326" customFormat="1" ht="13.5" customHeight="1">
      <c r="A528" s="406" t="s">
        <v>771</v>
      </c>
      <c r="B528" s="449" t="s">
        <v>457</v>
      </c>
      <c r="C528" s="432"/>
      <c r="D528" s="432"/>
      <c r="E528" s="81" t="s">
        <v>34</v>
      </c>
      <c r="F528" s="165">
        <f>SUM(F529:F530)</f>
        <v>3157609.2</v>
      </c>
      <c r="G528" s="356"/>
      <c r="H528" s="357"/>
      <c r="I528" s="358"/>
      <c r="J528" s="358"/>
      <c r="K528" s="359"/>
      <c r="L528" s="325"/>
    </row>
    <row r="529" spans="1:12" s="326" customFormat="1" ht="15">
      <c r="A529" s="407"/>
      <c r="B529" s="450"/>
      <c r="C529" s="433"/>
      <c r="D529" s="433"/>
      <c r="E529" s="323" t="s">
        <v>75</v>
      </c>
      <c r="F529" s="231">
        <v>2999728.74</v>
      </c>
      <c r="G529" s="356"/>
      <c r="H529" s="357"/>
      <c r="I529" s="358"/>
      <c r="J529" s="358"/>
      <c r="K529" s="359"/>
      <c r="L529" s="325"/>
    </row>
    <row r="530" spans="1:12" s="326" customFormat="1" ht="13.5" customHeight="1">
      <c r="A530" s="408"/>
      <c r="B530" s="451"/>
      <c r="C530" s="434"/>
      <c r="D530" s="434"/>
      <c r="E530" s="323" t="s">
        <v>18</v>
      </c>
      <c r="F530" s="231">
        <v>157880.45999999996</v>
      </c>
      <c r="G530" s="356"/>
      <c r="H530" s="357"/>
      <c r="I530" s="358"/>
      <c r="J530" s="358"/>
      <c r="K530" s="359"/>
      <c r="L530" s="325"/>
    </row>
    <row r="531" spans="1:12" s="326" customFormat="1" ht="13.5" customHeight="1">
      <c r="A531" s="406" t="s">
        <v>772</v>
      </c>
      <c r="B531" s="449" t="s">
        <v>458</v>
      </c>
      <c r="C531" s="432"/>
      <c r="D531" s="432"/>
      <c r="E531" s="81" t="s">
        <v>34</v>
      </c>
      <c r="F531" s="165">
        <f>SUM(F532:F533)</f>
        <v>1999067.5</v>
      </c>
      <c r="G531" s="356"/>
      <c r="H531" s="357"/>
      <c r="I531" s="358"/>
      <c r="J531" s="358"/>
      <c r="K531" s="359"/>
      <c r="L531" s="325"/>
    </row>
    <row r="532" spans="1:12" s="326" customFormat="1" ht="15">
      <c r="A532" s="407"/>
      <c r="B532" s="450"/>
      <c r="C532" s="433"/>
      <c r="D532" s="433"/>
      <c r="E532" s="323" t="s">
        <v>75</v>
      </c>
      <c r="F532" s="231">
        <v>1899114.12</v>
      </c>
      <c r="G532" s="356"/>
      <c r="H532" s="357"/>
      <c r="I532" s="358"/>
      <c r="J532" s="358"/>
      <c r="K532" s="359"/>
      <c r="L532" s="325"/>
    </row>
    <row r="533" spans="1:12" s="326" customFormat="1" ht="13.5" customHeight="1">
      <c r="A533" s="408"/>
      <c r="B533" s="451"/>
      <c r="C533" s="434"/>
      <c r="D533" s="434"/>
      <c r="E533" s="323" t="s">
        <v>18</v>
      </c>
      <c r="F533" s="231">
        <v>99953.37999999989</v>
      </c>
      <c r="G533" s="356"/>
      <c r="H533" s="357"/>
      <c r="I533" s="358"/>
      <c r="J533" s="358"/>
      <c r="K533" s="359"/>
      <c r="L533" s="325"/>
    </row>
    <row r="534" spans="1:12" s="326" customFormat="1" ht="13.5" customHeight="1">
      <c r="A534" s="406" t="s">
        <v>773</v>
      </c>
      <c r="B534" s="449" t="s">
        <v>459</v>
      </c>
      <c r="C534" s="432"/>
      <c r="D534" s="432"/>
      <c r="E534" s="81" t="s">
        <v>34</v>
      </c>
      <c r="F534" s="165">
        <f>SUM(F535:F536)</f>
        <v>5263158.72</v>
      </c>
      <c r="G534" s="356"/>
      <c r="H534" s="357"/>
      <c r="I534" s="358"/>
      <c r="J534" s="358"/>
      <c r="K534" s="359"/>
      <c r="L534" s="325"/>
    </row>
    <row r="535" spans="1:12" s="326" customFormat="1" ht="15">
      <c r="A535" s="407"/>
      <c r="B535" s="450"/>
      <c r="C535" s="433"/>
      <c r="D535" s="433"/>
      <c r="E535" s="323" t="s">
        <v>75</v>
      </c>
      <c r="F535" s="231">
        <v>5000000</v>
      </c>
      <c r="G535" s="356"/>
      <c r="H535" s="357"/>
      <c r="I535" s="358"/>
      <c r="J535" s="358"/>
      <c r="K535" s="359"/>
      <c r="L535" s="325"/>
    </row>
    <row r="536" spans="1:12" s="326" customFormat="1" ht="13.5" customHeight="1">
      <c r="A536" s="408"/>
      <c r="B536" s="451"/>
      <c r="C536" s="434"/>
      <c r="D536" s="434"/>
      <c r="E536" s="323" t="s">
        <v>18</v>
      </c>
      <c r="F536" s="231">
        <v>263158.71999999974</v>
      </c>
      <c r="G536" s="356"/>
      <c r="H536" s="357"/>
      <c r="I536" s="358"/>
      <c r="J536" s="358"/>
      <c r="K536" s="359"/>
      <c r="L536" s="325"/>
    </row>
    <row r="537" spans="1:12" s="326" customFormat="1" ht="13.5" customHeight="1">
      <c r="A537" s="406" t="s">
        <v>774</v>
      </c>
      <c r="B537" s="449" t="s">
        <v>460</v>
      </c>
      <c r="C537" s="432"/>
      <c r="D537" s="432"/>
      <c r="E537" s="81" t="s">
        <v>34</v>
      </c>
      <c r="F537" s="165">
        <f>SUM(F538:F539)</f>
        <v>3142426.14</v>
      </c>
      <c r="G537" s="356"/>
      <c r="H537" s="357"/>
      <c r="I537" s="358"/>
      <c r="J537" s="358"/>
      <c r="K537" s="359"/>
      <c r="L537" s="325"/>
    </row>
    <row r="538" spans="1:12" s="326" customFormat="1" ht="15">
      <c r="A538" s="407"/>
      <c r="B538" s="450"/>
      <c r="C538" s="433"/>
      <c r="D538" s="433"/>
      <c r="E538" s="323" t="s">
        <v>75</v>
      </c>
      <c r="F538" s="231">
        <v>2985304.83</v>
      </c>
      <c r="G538" s="356"/>
      <c r="H538" s="357"/>
      <c r="I538" s="358"/>
      <c r="J538" s="358"/>
      <c r="K538" s="359"/>
      <c r="L538" s="325"/>
    </row>
    <row r="539" spans="1:12" s="326" customFormat="1" ht="13.5" customHeight="1">
      <c r="A539" s="408"/>
      <c r="B539" s="451"/>
      <c r="C539" s="434"/>
      <c r="D539" s="434"/>
      <c r="E539" s="323" t="s">
        <v>18</v>
      </c>
      <c r="F539" s="231">
        <v>157121.31000000006</v>
      </c>
      <c r="G539" s="356"/>
      <c r="H539" s="357"/>
      <c r="I539" s="358"/>
      <c r="J539" s="358"/>
      <c r="K539" s="359"/>
      <c r="L539" s="325"/>
    </row>
    <row r="540" spans="1:12" s="326" customFormat="1" ht="13.5" customHeight="1">
      <c r="A540" s="406" t="s">
        <v>775</v>
      </c>
      <c r="B540" s="449" t="s">
        <v>461</v>
      </c>
      <c r="C540" s="400"/>
      <c r="D540" s="452"/>
      <c r="E540" s="81" t="s">
        <v>34</v>
      </c>
      <c r="F540" s="165">
        <f>SUM(F541:F542)</f>
        <v>1061424</v>
      </c>
      <c r="G540" s="356"/>
      <c r="H540" s="357"/>
      <c r="I540" s="358"/>
      <c r="J540" s="358"/>
      <c r="K540" s="359"/>
      <c r="L540" s="325"/>
    </row>
    <row r="541" spans="1:12" s="326" customFormat="1" ht="15">
      <c r="A541" s="407"/>
      <c r="B541" s="450"/>
      <c r="C541" s="401"/>
      <c r="D541" s="453"/>
      <c r="E541" s="323" t="s">
        <v>75</v>
      </c>
      <c r="F541" s="231">
        <v>1000000</v>
      </c>
      <c r="G541" s="356"/>
      <c r="H541" s="357"/>
      <c r="I541" s="358"/>
      <c r="J541" s="358"/>
      <c r="K541" s="359"/>
      <c r="L541" s="325"/>
    </row>
    <row r="542" spans="1:12" s="326" customFormat="1" ht="13.5" customHeight="1">
      <c r="A542" s="408"/>
      <c r="B542" s="451"/>
      <c r="C542" s="402"/>
      <c r="D542" s="454"/>
      <c r="E542" s="323" t="s">
        <v>18</v>
      </c>
      <c r="F542" s="231">
        <v>61424</v>
      </c>
      <c r="G542" s="356"/>
      <c r="H542" s="357"/>
      <c r="I542" s="358"/>
      <c r="J542" s="358"/>
      <c r="K542" s="359"/>
      <c r="L542" s="325"/>
    </row>
    <row r="543" spans="1:12" s="326" customFormat="1" ht="13.5" customHeight="1">
      <c r="A543" s="406" t="s">
        <v>776</v>
      </c>
      <c r="B543" s="449" t="s">
        <v>462</v>
      </c>
      <c r="C543" s="400"/>
      <c r="D543" s="378"/>
      <c r="E543" s="81" t="s">
        <v>34</v>
      </c>
      <c r="F543" s="272">
        <f>SUM(F544:F545)</f>
        <v>1052290.96</v>
      </c>
      <c r="G543" s="356"/>
      <c r="H543" s="357"/>
      <c r="I543" s="358"/>
      <c r="J543" s="358"/>
      <c r="K543" s="359"/>
      <c r="L543" s="325"/>
    </row>
    <row r="544" spans="1:12" s="326" customFormat="1" ht="15">
      <c r="A544" s="407"/>
      <c r="B544" s="450"/>
      <c r="C544" s="401"/>
      <c r="D544" s="379"/>
      <c r="E544" s="323" t="s">
        <v>75</v>
      </c>
      <c r="F544" s="231">
        <v>999676.41</v>
      </c>
      <c r="G544" s="356"/>
      <c r="H544" s="357"/>
      <c r="I544" s="358"/>
      <c r="J544" s="358"/>
      <c r="K544" s="359"/>
      <c r="L544" s="325"/>
    </row>
    <row r="545" spans="1:12" s="326" customFormat="1" ht="13.5" customHeight="1">
      <c r="A545" s="408"/>
      <c r="B545" s="451"/>
      <c r="C545" s="402"/>
      <c r="D545" s="380"/>
      <c r="E545" s="323" t="s">
        <v>18</v>
      </c>
      <c r="F545" s="231">
        <v>52614.54999999993</v>
      </c>
      <c r="G545" s="356"/>
      <c r="H545" s="357"/>
      <c r="I545" s="358"/>
      <c r="J545" s="358"/>
      <c r="K545" s="359"/>
      <c r="L545" s="325"/>
    </row>
    <row r="546" spans="1:12" s="326" customFormat="1" ht="13.5" customHeight="1">
      <c r="A546" s="406" t="s">
        <v>777</v>
      </c>
      <c r="B546" s="449" t="s">
        <v>463</v>
      </c>
      <c r="C546" s="400"/>
      <c r="D546" s="452"/>
      <c r="E546" s="81" t="s">
        <v>34</v>
      </c>
      <c r="F546" s="165">
        <f>SUM(F547:F548)</f>
        <v>1233888.24</v>
      </c>
      <c r="G546" s="356"/>
      <c r="H546" s="357"/>
      <c r="I546" s="358"/>
      <c r="J546" s="358"/>
      <c r="K546" s="359"/>
      <c r="L546" s="325"/>
    </row>
    <row r="547" spans="1:12" s="326" customFormat="1" ht="15">
      <c r="A547" s="407"/>
      <c r="B547" s="450"/>
      <c r="C547" s="401"/>
      <c r="D547" s="453"/>
      <c r="E547" s="323" t="s">
        <v>75</v>
      </c>
      <c r="F547" s="231">
        <v>1000000</v>
      </c>
      <c r="G547" s="356"/>
      <c r="H547" s="357"/>
      <c r="I547" s="358"/>
      <c r="J547" s="358"/>
      <c r="K547" s="359"/>
      <c r="L547" s="325"/>
    </row>
    <row r="548" spans="1:12" s="326" customFormat="1" ht="13.5" customHeight="1">
      <c r="A548" s="408"/>
      <c r="B548" s="451"/>
      <c r="C548" s="402"/>
      <c r="D548" s="454"/>
      <c r="E548" s="323" t="s">
        <v>18</v>
      </c>
      <c r="F548" s="231">
        <v>233888.24</v>
      </c>
      <c r="G548" s="356"/>
      <c r="H548" s="357"/>
      <c r="I548" s="358"/>
      <c r="J548" s="358"/>
      <c r="K548" s="359"/>
      <c r="L548" s="325"/>
    </row>
    <row r="549" spans="1:12" s="326" customFormat="1" ht="13.5" customHeight="1">
      <c r="A549" s="406" t="s">
        <v>778</v>
      </c>
      <c r="B549" s="449" t="s">
        <v>464</v>
      </c>
      <c r="C549" s="400"/>
      <c r="D549" s="452"/>
      <c r="E549" s="81" t="s">
        <v>34</v>
      </c>
      <c r="F549" s="272">
        <f>SUM(F550:F551)</f>
        <v>1627365.14</v>
      </c>
      <c r="G549" s="356"/>
      <c r="H549" s="357"/>
      <c r="I549" s="358"/>
      <c r="J549" s="358"/>
      <c r="K549" s="359"/>
      <c r="L549" s="325"/>
    </row>
    <row r="550" spans="1:12" s="326" customFormat="1" ht="15">
      <c r="A550" s="407"/>
      <c r="B550" s="450"/>
      <c r="C550" s="401"/>
      <c r="D550" s="453"/>
      <c r="E550" s="323" t="s">
        <v>75</v>
      </c>
      <c r="F550" s="231">
        <v>1500000</v>
      </c>
      <c r="G550" s="356"/>
      <c r="H550" s="357"/>
      <c r="I550" s="358"/>
      <c r="J550" s="358"/>
      <c r="K550" s="359"/>
      <c r="L550" s="325"/>
    </row>
    <row r="551" spans="1:12" s="326" customFormat="1" ht="13.5" customHeight="1">
      <c r="A551" s="408"/>
      <c r="B551" s="451"/>
      <c r="C551" s="402"/>
      <c r="D551" s="454"/>
      <c r="E551" s="323" t="s">
        <v>18</v>
      </c>
      <c r="F551" s="231">
        <v>127365.1399999999</v>
      </c>
      <c r="G551" s="356"/>
      <c r="H551" s="357"/>
      <c r="I551" s="358"/>
      <c r="J551" s="358"/>
      <c r="K551" s="359"/>
      <c r="L551" s="325"/>
    </row>
    <row r="552" spans="1:12" s="326" customFormat="1" ht="13.5" customHeight="1">
      <c r="A552" s="406" t="s">
        <v>779</v>
      </c>
      <c r="B552" s="449" t="s">
        <v>465</v>
      </c>
      <c r="C552" s="400"/>
      <c r="D552" s="452"/>
      <c r="E552" s="81" t="s">
        <v>34</v>
      </c>
      <c r="F552" s="165">
        <f>SUM(F553:F554)</f>
        <v>1047911.98</v>
      </c>
      <c r="G552" s="356"/>
      <c r="H552" s="357"/>
      <c r="I552" s="358"/>
      <c r="J552" s="358"/>
      <c r="K552" s="359"/>
      <c r="L552" s="325"/>
    </row>
    <row r="553" spans="1:12" s="326" customFormat="1" ht="15">
      <c r="A553" s="407"/>
      <c r="B553" s="450"/>
      <c r="C553" s="401"/>
      <c r="D553" s="453"/>
      <c r="E553" s="323" t="s">
        <v>75</v>
      </c>
      <c r="F553" s="231">
        <v>995516.38</v>
      </c>
      <c r="G553" s="356"/>
      <c r="H553" s="357"/>
      <c r="I553" s="358"/>
      <c r="J553" s="358"/>
      <c r="K553" s="359"/>
      <c r="L553" s="325"/>
    </row>
    <row r="554" spans="1:12" s="326" customFormat="1" ht="13.5" customHeight="1">
      <c r="A554" s="408"/>
      <c r="B554" s="451"/>
      <c r="C554" s="402"/>
      <c r="D554" s="454"/>
      <c r="E554" s="323" t="s">
        <v>18</v>
      </c>
      <c r="F554" s="231">
        <v>52395.59999999998</v>
      </c>
      <c r="G554" s="356"/>
      <c r="H554" s="357"/>
      <c r="I554" s="358"/>
      <c r="J554" s="358"/>
      <c r="K554" s="359"/>
      <c r="L554" s="325"/>
    </row>
    <row r="555" spans="1:12" s="326" customFormat="1" ht="13.5" customHeight="1">
      <c r="A555" s="406" t="s">
        <v>780</v>
      </c>
      <c r="B555" s="449" t="s">
        <v>466</v>
      </c>
      <c r="C555" s="400"/>
      <c r="D555" s="452"/>
      <c r="E555" s="81" t="s">
        <v>34</v>
      </c>
      <c r="F555" s="165">
        <f>SUM(F556:F557)</f>
        <v>1055653.96</v>
      </c>
      <c r="G555" s="356"/>
      <c r="H555" s="357"/>
      <c r="I555" s="358"/>
      <c r="J555" s="358"/>
      <c r="K555" s="359"/>
      <c r="L555" s="325"/>
    </row>
    <row r="556" spans="1:12" s="326" customFormat="1" ht="15">
      <c r="A556" s="407"/>
      <c r="B556" s="450"/>
      <c r="C556" s="401"/>
      <c r="D556" s="453"/>
      <c r="E556" s="323" t="s">
        <v>75</v>
      </c>
      <c r="F556" s="231">
        <v>1000000</v>
      </c>
      <c r="G556" s="356"/>
      <c r="H556" s="357"/>
      <c r="I556" s="358"/>
      <c r="J556" s="358"/>
      <c r="K556" s="359"/>
      <c r="L556" s="325"/>
    </row>
    <row r="557" spans="1:12" s="326" customFormat="1" ht="13.5" customHeight="1">
      <c r="A557" s="408"/>
      <c r="B557" s="451"/>
      <c r="C557" s="402"/>
      <c r="D557" s="454"/>
      <c r="E557" s="323" t="s">
        <v>18</v>
      </c>
      <c r="F557" s="231">
        <v>55653.95999999996</v>
      </c>
      <c r="G557" s="356"/>
      <c r="H557" s="357"/>
      <c r="I557" s="358"/>
      <c r="J557" s="358"/>
      <c r="K557" s="359"/>
      <c r="L557" s="325"/>
    </row>
    <row r="558" spans="1:12" s="326" customFormat="1" ht="13.5" customHeight="1">
      <c r="A558" s="406" t="s">
        <v>781</v>
      </c>
      <c r="B558" s="449" t="s">
        <v>467</v>
      </c>
      <c r="C558" s="400"/>
      <c r="D558" s="452"/>
      <c r="E558" s="81" t="s">
        <v>34</v>
      </c>
      <c r="F558" s="165">
        <f>SUM(F559:F560)</f>
        <v>1052632</v>
      </c>
      <c r="G558" s="356"/>
      <c r="H558" s="357"/>
      <c r="I558" s="358"/>
      <c r="J558" s="358"/>
      <c r="K558" s="359"/>
      <c r="L558" s="325"/>
    </row>
    <row r="559" spans="1:12" s="326" customFormat="1" ht="15">
      <c r="A559" s="407"/>
      <c r="B559" s="450"/>
      <c r="C559" s="401"/>
      <c r="D559" s="453"/>
      <c r="E559" s="323" t="s">
        <v>75</v>
      </c>
      <c r="F559" s="231">
        <v>1000000</v>
      </c>
      <c r="G559" s="356"/>
      <c r="H559" s="357"/>
      <c r="I559" s="358"/>
      <c r="J559" s="358"/>
      <c r="K559" s="359"/>
      <c r="L559" s="325"/>
    </row>
    <row r="560" spans="1:12" s="326" customFormat="1" ht="13.5" customHeight="1">
      <c r="A560" s="408"/>
      <c r="B560" s="451"/>
      <c r="C560" s="402"/>
      <c r="D560" s="454"/>
      <c r="E560" s="323" t="s">
        <v>18</v>
      </c>
      <c r="F560" s="231">
        <v>52632</v>
      </c>
      <c r="G560" s="356"/>
      <c r="H560" s="357"/>
      <c r="I560" s="358"/>
      <c r="J560" s="358"/>
      <c r="K560" s="359"/>
      <c r="L560" s="325"/>
    </row>
    <row r="561" spans="1:12" s="326" customFormat="1" ht="13.5" customHeight="1">
      <c r="A561" s="406" t="s">
        <v>782</v>
      </c>
      <c r="B561" s="449" t="s">
        <v>468</v>
      </c>
      <c r="C561" s="400"/>
      <c r="D561" s="452"/>
      <c r="E561" s="81" t="s">
        <v>34</v>
      </c>
      <c r="F561" s="165">
        <f>SUM(F562:F563)</f>
        <v>1051551.1</v>
      </c>
      <c r="G561" s="356"/>
      <c r="H561" s="357"/>
      <c r="I561" s="358"/>
      <c r="J561" s="358"/>
      <c r="K561" s="359"/>
      <c r="L561" s="325"/>
    </row>
    <row r="562" spans="1:12" s="326" customFormat="1" ht="15">
      <c r="A562" s="407"/>
      <c r="B562" s="450"/>
      <c r="C562" s="401"/>
      <c r="D562" s="453"/>
      <c r="E562" s="323" t="s">
        <v>75</v>
      </c>
      <c r="F562" s="231">
        <v>996206.31</v>
      </c>
      <c r="G562" s="356"/>
      <c r="H562" s="357"/>
      <c r="I562" s="358"/>
      <c r="J562" s="358"/>
      <c r="K562" s="359"/>
      <c r="L562" s="325"/>
    </row>
    <row r="563" spans="1:12" s="326" customFormat="1" ht="13.5" customHeight="1">
      <c r="A563" s="408"/>
      <c r="B563" s="451"/>
      <c r="C563" s="402"/>
      <c r="D563" s="454"/>
      <c r="E563" s="323" t="s">
        <v>18</v>
      </c>
      <c r="F563" s="231">
        <v>55344.79000000004</v>
      </c>
      <c r="G563" s="356"/>
      <c r="H563" s="357"/>
      <c r="I563" s="358"/>
      <c r="J563" s="358"/>
      <c r="K563" s="359"/>
      <c r="L563" s="325"/>
    </row>
    <row r="564" spans="1:12" s="326" customFormat="1" ht="13.5" customHeight="1">
      <c r="A564" s="406" t="s">
        <v>783</v>
      </c>
      <c r="B564" s="449" t="s">
        <v>469</v>
      </c>
      <c r="C564" s="400"/>
      <c r="D564" s="452"/>
      <c r="E564" s="81" t="s">
        <v>34</v>
      </c>
      <c r="F564" s="165">
        <f>SUM(F565:F566)</f>
        <v>1603602.3</v>
      </c>
      <c r="G564" s="356"/>
      <c r="H564" s="357"/>
      <c r="I564" s="358"/>
      <c r="J564" s="358"/>
      <c r="K564" s="359"/>
      <c r="L564" s="325"/>
    </row>
    <row r="565" spans="1:12" s="326" customFormat="1" ht="15">
      <c r="A565" s="407"/>
      <c r="B565" s="450"/>
      <c r="C565" s="401"/>
      <c r="D565" s="453"/>
      <c r="E565" s="323" t="s">
        <v>75</v>
      </c>
      <c r="F565" s="231">
        <v>1500000</v>
      </c>
      <c r="G565" s="356"/>
      <c r="H565" s="357"/>
      <c r="I565" s="358"/>
      <c r="J565" s="358"/>
      <c r="K565" s="359"/>
      <c r="L565" s="325"/>
    </row>
    <row r="566" spans="1:12" s="326" customFormat="1" ht="13.5" customHeight="1">
      <c r="A566" s="408"/>
      <c r="B566" s="451"/>
      <c r="C566" s="402"/>
      <c r="D566" s="454"/>
      <c r="E566" s="323" t="s">
        <v>18</v>
      </c>
      <c r="F566" s="231">
        <v>103602.30000000005</v>
      </c>
      <c r="G566" s="356"/>
      <c r="H566" s="357"/>
      <c r="I566" s="358"/>
      <c r="J566" s="358"/>
      <c r="K566" s="359"/>
      <c r="L566" s="325"/>
    </row>
    <row r="567" spans="1:12" s="326" customFormat="1" ht="13.5" customHeight="1">
      <c r="A567" s="406" t="s">
        <v>784</v>
      </c>
      <c r="B567" s="449" t="s">
        <v>470</v>
      </c>
      <c r="C567" s="400"/>
      <c r="D567" s="452"/>
      <c r="E567" s="81" t="s">
        <v>34</v>
      </c>
      <c r="F567" s="165">
        <f>SUM(F568:F569)</f>
        <v>2549654.32</v>
      </c>
      <c r="G567" s="356"/>
      <c r="H567" s="357"/>
      <c r="I567" s="358"/>
      <c r="J567" s="358"/>
      <c r="K567" s="359"/>
      <c r="L567" s="325"/>
    </row>
    <row r="568" spans="1:12" s="326" customFormat="1" ht="15">
      <c r="A568" s="407"/>
      <c r="B568" s="450"/>
      <c r="C568" s="401"/>
      <c r="D568" s="453"/>
      <c r="E568" s="323" t="s">
        <v>75</v>
      </c>
      <c r="F568" s="231">
        <v>2422171.6</v>
      </c>
      <c r="G568" s="356"/>
      <c r="H568" s="357"/>
      <c r="I568" s="358"/>
      <c r="J568" s="358"/>
      <c r="K568" s="359"/>
      <c r="L568" s="325"/>
    </row>
    <row r="569" spans="1:12" s="326" customFormat="1" ht="13.5" customHeight="1">
      <c r="A569" s="408"/>
      <c r="B569" s="451"/>
      <c r="C569" s="402"/>
      <c r="D569" s="454"/>
      <c r="E569" s="323" t="s">
        <v>18</v>
      </c>
      <c r="F569" s="237">
        <v>127482.71999999974</v>
      </c>
      <c r="G569" s="356"/>
      <c r="H569" s="357"/>
      <c r="I569" s="358"/>
      <c r="J569" s="358"/>
      <c r="K569" s="359"/>
      <c r="L569" s="325"/>
    </row>
    <row r="570" spans="1:12" s="326" customFormat="1" ht="13.5" customHeight="1">
      <c r="A570" s="406" t="s">
        <v>785</v>
      </c>
      <c r="B570" s="449" t="s">
        <v>471</v>
      </c>
      <c r="C570" s="400"/>
      <c r="D570" s="452"/>
      <c r="E570" s="81" t="s">
        <v>34</v>
      </c>
      <c r="F570" s="165">
        <f>SUM(F571:F572)</f>
        <v>3149522.66</v>
      </c>
      <c r="G570" s="356"/>
      <c r="H570" s="357"/>
      <c r="I570" s="358"/>
      <c r="J570" s="358"/>
      <c r="K570" s="359"/>
      <c r="L570" s="325"/>
    </row>
    <row r="571" spans="1:12" s="326" customFormat="1" ht="15">
      <c r="A571" s="407"/>
      <c r="B571" s="450"/>
      <c r="C571" s="401"/>
      <c r="D571" s="453"/>
      <c r="E571" s="323" t="s">
        <v>75</v>
      </c>
      <c r="F571" s="231">
        <v>2771579.94</v>
      </c>
      <c r="G571" s="356"/>
      <c r="H571" s="357"/>
      <c r="I571" s="358"/>
      <c r="J571" s="358"/>
      <c r="K571" s="359"/>
      <c r="L571" s="325"/>
    </row>
    <row r="572" spans="1:12" s="326" customFormat="1" ht="13.5" customHeight="1">
      <c r="A572" s="408"/>
      <c r="B572" s="451"/>
      <c r="C572" s="402"/>
      <c r="D572" s="454"/>
      <c r="E572" s="323" t="s">
        <v>18</v>
      </c>
      <c r="F572" s="231">
        <v>377942.7200000002</v>
      </c>
      <c r="G572" s="356"/>
      <c r="H572" s="357"/>
      <c r="I572" s="358"/>
      <c r="J572" s="358"/>
      <c r="K572" s="359"/>
      <c r="L572" s="325"/>
    </row>
    <row r="573" spans="1:12" s="326" customFormat="1" ht="13.5" customHeight="1">
      <c r="A573" s="406" t="s">
        <v>786</v>
      </c>
      <c r="B573" s="449" t="s">
        <v>472</v>
      </c>
      <c r="C573" s="400"/>
      <c r="D573" s="452"/>
      <c r="E573" s="81" t="s">
        <v>34</v>
      </c>
      <c r="F573" s="165">
        <f>SUM(F574:F575)</f>
        <v>2420155.22</v>
      </c>
      <c r="G573" s="356"/>
      <c r="H573" s="357"/>
      <c r="I573" s="358"/>
      <c r="J573" s="358"/>
      <c r="K573" s="359"/>
      <c r="L573" s="325"/>
    </row>
    <row r="574" spans="1:12" s="326" customFormat="1" ht="15">
      <c r="A574" s="407"/>
      <c r="B574" s="450"/>
      <c r="C574" s="401"/>
      <c r="D574" s="453"/>
      <c r="E574" s="323" t="s">
        <v>75</v>
      </c>
      <c r="F574" s="231">
        <v>2299147.45</v>
      </c>
      <c r="G574" s="356"/>
      <c r="H574" s="357"/>
      <c r="I574" s="358"/>
      <c r="J574" s="358"/>
      <c r="K574" s="359"/>
      <c r="L574" s="325"/>
    </row>
    <row r="575" spans="1:12" s="326" customFormat="1" ht="13.5" customHeight="1">
      <c r="A575" s="408"/>
      <c r="B575" s="451"/>
      <c r="C575" s="402"/>
      <c r="D575" s="454"/>
      <c r="E575" s="323" t="s">
        <v>18</v>
      </c>
      <c r="F575" s="231">
        <v>121007.77000000002</v>
      </c>
      <c r="G575" s="356"/>
      <c r="H575" s="357"/>
      <c r="I575" s="358"/>
      <c r="J575" s="358"/>
      <c r="K575" s="359"/>
      <c r="L575" s="325"/>
    </row>
    <row r="576" spans="1:12" s="326" customFormat="1" ht="13.5" customHeight="1">
      <c r="A576" s="406" t="s">
        <v>787</v>
      </c>
      <c r="B576" s="449" t="s">
        <v>473</v>
      </c>
      <c r="C576" s="400"/>
      <c r="D576" s="452"/>
      <c r="E576" s="81" t="s">
        <v>34</v>
      </c>
      <c r="F576" s="165">
        <f>SUM(F577:F578)</f>
        <v>2817611.08</v>
      </c>
      <c r="G576" s="356"/>
      <c r="H576" s="357"/>
      <c r="I576" s="358"/>
      <c r="J576" s="358"/>
      <c r="K576" s="359"/>
      <c r="L576" s="325"/>
    </row>
    <row r="577" spans="1:12" s="326" customFormat="1" ht="15">
      <c r="A577" s="407"/>
      <c r="B577" s="450"/>
      <c r="C577" s="401"/>
      <c r="D577" s="453"/>
      <c r="E577" s="323" t="s">
        <v>75</v>
      </c>
      <c r="F577" s="231">
        <v>2507101.01</v>
      </c>
      <c r="G577" s="356"/>
      <c r="H577" s="357"/>
      <c r="I577" s="358"/>
      <c r="J577" s="358"/>
      <c r="K577" s="359"/>
      <c r="L577" s="325"/>
    </row>
    <row r="578" spans="1:12" s="326" customFormat="1" ht="13.5" customHeight="1">
      <c r="A578" s="408"/>
      <c r="B578" s="451"/>
      <c r="C578" s="402"/>
      <c r="D578" s="454"/>
      <c r="E578" s="323" t="s">
        <v>18</v>
      </c>
      <c r="F578" s="237">
        <v>310510.0700000003</v>
      </c>
      <c r="G578" s="356"/>
      <c r="H578" s="357"/>
      <c r="I578" s="358"/>
      <c r="J578" s="358"/>
      <c r="K578" s="359"/>
      <c r="L578" s="325"/>
    </row>
    <row r="579" spans="1:12" s="326" customFormat="1" ht="13.5" customHeight="1">
      <c r="A579" s="406" t="s">
        <v>788</v>
      </c>
      <c r="B579" s="449" t="s">
        <v>474</v>
      </c>
      <c r="C579" s="400"/>
      <c r="D579" s="452"/>
      <c r="E579" s="81" t="s">
        <v>34</v>
      </c>
      <c r="F579" s="165">
        <f>SUM(F580:F581)</f>
        <v>1009340.14</v>
      </c>
      <c r="G579" s="356"/>
      <c r="H579" s="357"/>
      <c r="I579" s="358"/>
      <c r="J579" s="358"/>
      <c r="K579" s="359"/>
      <c r="L579" s="325"/>
    </row>
    <row r="580" spans="1:12" s="326" customFormat="1" ht="15">
      <c r="A580" s="407"/>
      <c r="B580" s="450"/>
      <c r="C580" s="401"/>
      <c r="D580" s="453"/>
      <c r="E580" s="323" t="s">
        <v>75</v>
      </c>
      <c r="F580" s="231">
        <v>958873.13</v>
      </c>
      <c r="G580" s="356"/>
      <c r="H580" s="357"/>
      <c r="I580" s="358"/>
      <c r="J580" s="358"/>
      <c r="K580" s="359"/>
      <c r="L580" s="325"/>
    </row>
    <row r="581" spans="1:12" s="326" customFormat="1" ht="13.5" customHeight="1">
      <c r="A581" s="408"/>
      <c r="B581" s="451"/>
      <c r="C581" s="402"/>
      <c r="D581" s="454"/>
      <c r="E581" s="323" t="s">
        <v>18</v>
      </c>
      <c r="F581" s="231">
        <v>50467.01000000001</v>
      </c>
      <c r="G581" s="356"/>
      <c r="H581" s="357"/>
      <c r="I581" s="358"/>
      <c r="J581" s="358"/>
      <c r="K581" s="359"/>
      <c r="L581" s="325"/>
    </row>
    <row r="582" spans="1:12" s="326" customFormat="1" ht="13.5" customHeight="1">
      <c r="A582" s="406" t="s">
        <v>789</v>
      </c>
      <c r="B582" s="449" t="s">
        <v>475</v>
      </c>
      <c r="C582" s="400"/>
      <c r="D582" s="452"/>
      <c r="E582" s="81" t="s">
        <v>34</v>
      </c>
      <c r="F582" s="165">
        <f>SUM(F583:F584)</f>
        <v>4440950.06</v>
      </c>
      <c r="G582" s="356"/>
      <c r="H582" s="357"/>
      <c r="I582" s="358"/>
      <c r="J582" s="358"/>
      <c r="K582" s="359"/>
      <c r="L582" s="325"/>
    </row>
    <row r="583" spans="1:12" s="326" customFormat="1" ht="15">
      <c r="A583" s="407"/>
      <c r="B583" s="450"/>
      <c r="C583" s="401"/>
      <c r="D583" s="453"/>
      <c r="E583" s="323" t="s">
        <v>75</v>
      </c>
      <c r="F583" s="231">
        <v>4218902</v>
      </c>
      <c r="G583" s="356"/>
      <c r="H583" s="357"/>
      <c r="I583" s="358"/>
      <c r="J583" s="358"/>
      <c r="K583" s="359"/>
      <c r="L583" s="325"/>
    </row>
    <row r="584" spans="1:12" s="326" customFormat="1" ht="13.5" customHeight="1">
      <c r="A584" s="408"/>
      <c r="B584" s="451"/>
      <c r="C584" s="402"/>
      <c r="D584" s="454"/>
      <c r="E584" s="323" t="s">
        <v>18</v>
      </c>
      <c r="F584" s="231">
        <v>222048.0599999996</v>
      </c>
      <c r="G584" s="356"/>
      <c r="H584" s="357"/>
      <c r="I584" s="358"/>
      <c r="J584" s="358"/>
      <c r="K584" s="359"/>
      <c r="L584" s="325"/>
    </row>
    <row r="585" spans="1:12" s="326" customFormat="1" ht="13.5" customHeight="1">
      <c r="A585" s="406" t="s">
        <v>790</v>
      </c>
      <c r="B585" s="449" t="s">
        <v>476</v>
      </c>
      <c r="C585" s="400"/>
      <c r="D585" s="452"/>
      <c r="E585" s="81" t="s">
        <v>34</v>
      </c>
      <c r="F585" s="165">
        <f>SUM(F586:F587)</f>
        <v>1011770.94</v>
      </c>
      <c r="G585" s="356"/>
      <c r="H585" s="357"/>
      <c r="I585" s="358"/>
      <c r="J585" s="358"/>
      <c r="K585" s="359"/>
      <c r="L585" s="325"/>
    </row>
    <row r="586" spans="1:12" s="326" customFormat="1" ht="15">
      <c r="A586" s="407"/>
      <c r="B586" s="450"/>
      <c r="C586" s="401"/>
      <c r="D586" s="453"/>
      <c r="E586" s="323" t="s">
        <v>75</v>
      </c>
      <c r="F586" s="231">
        <v>961182.39</v>
      </c>
      <c r="G586" s="356"/>
      <c r="H586" s="357"/>
      <c r="I586" s="358"/>
      <c r="J586" s="358"/>
      <c r="K586" s="359"/>
      <c r="L586" s="325"/>
    </row>
    <row r="587" spans="1:12" s="326" customFormat="1" ht="13.5" customHeight="1">
      <c r="A587" s="408"/>
      <c r="B587" s="451"/>
      <c r="C587" s="402"/>
      <c r="D587" s="454"/>
      <c r="E587" s="323" t="s">
        <v>18</v>
      </c>
      <c r="F587" s="231">
        <v>50588.54999999993</v>
      </c>
      <c r="G587" s="356"/>
      <c r="H587" s="357"/>
      <c r="I587" s="358"/>
      <c r="J587" s="358"/>
      <c r="K587" s="359"/>
      <c r="L587" s="325"/>
    </row>
    <row r="588" spans="1:12" s="326" customFormat="1" ht="13.5" customHeight="1">
      <c r="A588" s="406" t="s">
        <v>791</v>
      </c>
      <c r="B588" s="449" t="s">
        <v>477</v>
      </c>
      <c r="C588" s="297"/>
      <c r="D588" s="292"/>
      <c r="E588" s="81" t="s">
        <v>34</v>
      </c>
      <c r="F588" s="165">
        <f>SUM(F589:F590)</f>
        <v>1960430.76</v>
      </c>
      <c r="G588" s="356"/>
      <c r="H588" s="357"/>
      <c r="I588" s="358"/>
      <c r="J588" s="358"/>
      <c r="K588" s="359"/>
      <c r="L588" s="325"/>
    </row>
    <row r="589" spans="1:12" s="326" customFormat="1" ht="15">
      <c r="A589" s="407"/>
      <c r="B589" s="450"/>
      <c r="C589" s="297"/>
      <c r="D589" s="292"/>
      <c r="E589" s="323" t="s">
        <v>75</v>
      </c>
      <c r="F589" s="231">
        <v>1862409.22</v>
      </c>
      <c r="G589" s="356"/>
      <c r="H589" s="357"/>
      <c r="I589" s="358"/>
      <c r="J589" s="358"/>
      <c r="K589" s="359"/>
      <c r="L589" s="325"/>
    </row>
    <row r="590" spans="1:12" s="326" customFormat="1" ht="13.5" customHeight="1">
      <c r="A590" s="408"/>
      <c r="B590" s="451"/>
      <c r="C590" s="297"/>
      <c r="D590" s="292"/>
      <c r="E590" s="323" t="s">
        <v>18</v>
      </c>
      <c r="F590" s="231">
        <v>98021.54000000004</v>
      </c>
      <c r="G590" s="356"/>
      <c r="H590" s="357"/>
      <c r="I590" s="358"/>
      <c r="J590" s="358"/>
      <c r="K590" s="359"/>
      <c r="L590" s="325"/>
    </row>
    <row r="591" spans="1:12" s="326" customFormat="1" ht="13.5" customHeight="1">
      <c r="A591" s="406" t="s">
        <v>792</v>
      </c>
      <c r="B591" s="449" t="s">
        <v>478</v>
      </c>
      <c r="C591" s="400"/>
      <c r="D591" s="452"/>
      <c r="E591" s="81" t="s">
        <v>34</v>
      </c>
      <c r="F591" s="165">
        <f>SUM(F592:F593)</f>
        <v>2143808.66</v>
      </c>
      <c r="G591" s="356"/>
      <c r="H591" s="357"/>
      <c r="I591" s="358"/>
      <c r="J591" s="358"/>
      <c r="K591" s="359"/>
      <c r="L591" s="325"/>
    </row>
    <row r="592" spans="1:12" s="326" customFormat="1" ht="15">
      <c r="A592" s="407"/>
      <c r="B592" s="450"/>
      <c r="C592" s="401"/>
      <c r="D592" s="453"/>
      <c r="E592" s="323" t="s">
        <v>75</v>
      </c>
      <c r="F592" s="231">
        <v>2036618.22</v>
      </c>
      <c r="G592" s="356"/>
      <c r="H592" s="357"/>
      <c r="I592" s="358"/>
      <c r="J592" s="358"/>
      <c r="K592" s="359"/>
      <c r="L592" s="325"/>
    </row>
    <row r="593" spans="1:12" s="326" customFormat="1" ht="13.5" customHeight="1">
      <c r="A593" s="408"/>
      <c r="B593" s="451"/>
      <c r="C593" s="402"/>
      <c r="D593" s="454"/>
      <c r="E593" s="323" t="s">
        <v>18</v>
      </c>
      <c r="F593" s="231">
        <v>107190.44000000018</v>
      </c>
      <c r="G593" s="356"/>
      <c r="H593" s="357"/>
      <c r="I593" s="358"/>
      <c r="J593" s="358"/>
      <c r="K593" s="359"/>
      <c r="L593" s="325"/>
    </row>
    <row r="594" spans="1:12" s="326" customFormat="1" ht="13.5" customHeight="1">
      <c r="A594" s="406" t="s">
        <v>793</v>
      </c>
      <c r="B594" s="449" t="s">
        <v>479</v>
      </c>
      <c r="C594" s="400"/>
      <c r="D594" s="452"/>
      <c r="E594" s="81" t="s">
        <v>34</v>
      </c>
      <c r="F594" s="165">
        <f>SUM(F595:F596)</f>
        <v>10500001</v>
      </c>
      <c r="G594" s="356"/>
      <c r="H594" s="357"/>
      <c r="I594" s="358"/>
      <c r="J594" s="358"/>
      <c r="K594" s="359"/>
      <c r="L594" s="325"/>
    </row>
    <row r="595" spans="1:12" s="326" customFormat="1" ht="15">
      <c r="A595" s="407"/>
      <c r="B595" s="450"/>
      <c r="C595" s="401"/>
      <c r="D595" s="453"/>
      <c r="E595" s="323" t="s">
        <v>75</v>
      </c>
      <c r="F595" s="231">
        <v>9975000.95</v>
      </c>
      <c r="G595" s="356"/>
      <c r="H595" s="357"/>
      <c r="I595" s="358"/>
      <c r="J595" s="358"/>
      <c r="K595" s="359"/>
      <c r="L595" s="325"/>
    </row>
    <row r="596" spans="1:12" s="326" customFormat="1" ht="13.5" customHeight="1">
      <c r="A596" s="408"/>
      <c r="B596" s="451"/>
      <c r="C596" s="402"/>
      <c r="D596" s="454"/>
      <c r="E596" s="323" t="s">
        <v>18</v>
      </c>
      <c r="F596" s="231">
        <v>525000.0500000007</v>
      </c>
      <c r="G596" s="356"/>
      <c r="H596" s="357"/>
      <c r="I596" s="358"/>
      <c r="J596" s="358"/>
      <c r="K596" s="359"/>
      <c r="L596" s="325"/>
    </row>
    <row r="597" spans="1:12" s="326" customFormat="1" ht="13.5" customHeight="1">
      <c r="A597" s="406" t="s">
        <v>794</v>
      </c>
      <c r="B597" s="449" t="s">
        <v>480</v>
      </c>
      <c r="C597" s="400"/>
      <c r="D597" s="452"/>
      <c r="E597" s="81" t="s">
        <v>34</v>
      </c>
      <c r="F597" s="165">
        <f>SUM(F598:F599)</f>
        <v>3653137.22</v>
      </c>
      <c r="G597" s="356"/>
      <c r="H597" s="357"/>
      <c r="I597" s="358"/>
      <c r="J597" s="358"/>
      <c r="K597" s="359"/>
      <c r="L597" s="325"/>
    </row>
    <row r="598" spans="1:12" s="326" customFormat="1" ht="15">
      <c r="A598" s="407"/>
      <c r="B598" s="450"/>
      <c r="C598" s="401"/>
      <c r="D598" s="453"/>
      <c r="E598" s="323" t="s">
        <v>75</v>
      </c>
      <c r="F598" s="231">
        <v>3470480</v>
      </c>
      <c r="G598" s="356"/>
      <c r="H598" s="357"/>
      <c r="I598" s="358"/>
      <c r="J598" s="358"/>
      <c r="K598" s="359"/>
      <c r="L598" s="325"/>
    </row>
    <row r="599" spans="1:12" s="326" customFormat="1" ht="13.5" customHeight="1">
      <c r="A599" s="408"/>
      <c r="B599" s="451"/>
      <c r="C599" s="402"/>
      <c r="D599" s="454"/>
      <c r="E599" s="323" t="s">
        <v>18</v>
      </c>
      <c r="F599" s="231">
        <v>182657.2200000002</v>
      </c>
      <c r="G599" s="356"/>
      <c r="H599" s="357"/>
      <c r="I599" s="358"/>
      <c r="J599" s="358"/>
      <c r="K599" s="359"/>
      <c r="L599" s="325"/>
    </row>
    <row r="600" spans="1:12" s="326" customFormat="1" ht="15">
      <c r="A600" s="406" t="s">
        <v>795</v>
      </c>
      <c r="B600" s="449" t="s">
        <v>481</v>
      </c>
      <c r="C600" s="400"/>
      <c r="D600" s="452"/>
      <c r="E600" s="81" t="s">
        <v>34</v>
      </c>
      <c r="F600" s="165">
        <f>SUM(F601:F602)</f>
        <v>6346814.08</v>
      </c>
      <c r="G600" s="356"/>
      <c r="H600" s="357"/>
      <c r="I600" s="358"/>
      <c r="J600" s="358"/>
      <c r="K600" s="359"/>
      <c r="L600" s="325"/>
    </row>
    <row r="601" spans="1:12" s="326" customFormat="1" ht="15">
      <c r="A601" s="407"/>
      <c r="B601" s="450"/>
      <c r="C601" s="401"/>
      <c r="D601" s="453"/>
      <c r="E601" s="323" t="s">
        <v>75</v>
      </c>
      <c r="F601" s="231">
        <v>6029473</v>
      </c>
      <c r="G601" s="356"/>
      <c r="H601" s="357"/>
      <c r="I601" s="358"/>
      <c r="J601" s="358"/>
      <c r="K601" s="359"/>
      <c r="L601" s="325"/>
    </row>
    <row r="602" spans="1:12" s="326" customFormat="1" ht="13.5" customHeight="1">
      <c r="A602" s="408"/>
      <c r="B602" s="451"/>
      <c r="C602" s="402"/>
      <c r="D602" s="454"/>
      <c r="E602" s="323" t="s">
        <v>18</v>
      </c>
      <c r="F602" s="231">
        <v>317341.0800000001</v>
      </c>
      <c r="G602" s="356"/>
      <c r="H602" s="357"/>
      <c r="I602" s="358"/>
      <c r="J602" s="358"/>
      <c r="K602" s="359"/>
      <c r="L602" s="325"/>
    </row>
    <row r="603" spans="1:12" s="326" customFormat="1" ht="13.5" customHeight="1">
      <c r="A603" s="406" t="s">
        <v>796</v>
      </c>
      <c r="B603" s="449" t="s">
        <v>482</v>
      </c>
      <c r="C603" s="400"/>
      <c r="D603" s="452"/>
      <c r="E603" s="81" t="s">
        <v>34</v>
      </c>
      <c r="F603" s="165">
        <f>SUM(F604:F605)</f>
        <v>1136194.9</v>
      </c>
      <c r="G603" s="356"/>
      <c r="H603" s="357"/>
      <c r="I603" s="358"/>
      <c r="J603" s="358"/>
      <c r="K603" s="359"/>
      <c r="L603" s="325"/>
    </row>
    <row r="604" spans="1:12" s="326" customFormat="1" ht="15">
      <c r="A604" s="407"/>
      <c r="B604" s="450"/>
      <c r="C604" s="401"/>
      <c r="D604" s="453"/>
      <c r="E604" s="323" t="s">
        <v>75</v>
      </c>
      <c r="F604" s="231">
        <v>1000195</v>
      </c>
      <c r="G604" s="356"/>
      <c r="H604" s="357"/>
      <c r="I604" s="358"/>
      <c r="J604" s="358"/>
      <c r="K604" s="359"/>
      <c r="L604" s="325"/>
    </row>
    <row r="605" spans="1:12" s="326" customFormat="1" ht="13.5" customHeight="1">
      <c r="A605" s="408"/>
      <c r="B605" s="451"/>
      <c r="C605" s="402"/>
      <c r="D605" s="454"/>
      <c r="E605" s="323" t="s">
        <v>18</v>
      </c>
      <c r="F605" s="231">
        <v>135999.8999999999</v>
      </c>
      <c r="G605" s="356"/>
      <c r="H605" s="357"/>
      <c r="I605" s="358"/>
      <c r="J605" s="358"/>
      <c r="K605" s="359"/>
      <c r="L605" s="325"/>
    </row>
    <row r="606" spans="1:12" s="326" customFormat="1" ht="13.5" customHeight="1">
      <c r="A606" s="406" t="s">
        <v>797</v>
      </c>
      <c r="B606" s="449" t="s">
        <v>483</v>
      </c>
      <c r="C606" s="400"/>
      <c r="D606" s="452"/>
      <c r="E606" s="81" t="s">
        <v>34</v>
      </c>
      <c r="F606" s="165">
        <f>SUM(F607:F608)</f>
        <v>1001602.9</v>
      </c>
      <c r="G606" s="356"/>
      <c r="H606" s="357"/>
      <c r="I606" s="358"/>
      <c r="J606" s="358"/>
      <c r="K606" s="359"/>
      <c r="L606" s="325"/>
    </row>
    <row r="607" spans="1:12" s="326" customFormat="1" ht="15">
      <c r="A607" s="407"/>
      <c r="B607" s="450"/>
      <c r="C607" s="401"/>
      <c r="D607" s="453"/>
      <c r="E607" s="323" t="s">
        <v>75</v>
      </c>
      <c r="F607" s="231">
        <v>951522.75</v>
      </c>
      <c r="G607" s="356"/>
      <c r="H607" s="357"/>
      <c r="I607" s="358"/>
      <c r="J607" s="358"/>
      <c r="K607" s="359"/>
      <c r="L607" s="325"/>
    </row>
    <row r="608" spans="1:12" s="326" customFormat="1" ht="13.5" customHeight="1">
      <c r="A608" s="408"/>
      <c r="B608" s="451"/>
      <c r="C608" s="402"/>
      <c r="D608" s="454"/>
      <c r="E608" s="323" t="s">
        <v>18</v>
      </c>
      <c r="F608" s="231">
        <v>50080.15000000002</v>
      </c>
      <c r="G608" s="356"/>
      <c r="H608" s="357"/>
      <c r="I608" s="358"/>
      <c r="J608" s="358"/>
      <c r="K608" s="359"/>
      <c r="L608" s="325"/>
    </row>
    <row r="609" spans="1:12" s="326" customFormat="1" ht="13.5" customHeight="1">
      <c r="A609" s="406" t="s">
        <v>798</v>
      </c>
      <c r="B609" s="449" t="s">
        <v>484</v>
      </c>
      <c r="C609" s="400"/>
      <c r="D609" s="452"/>
      <c r="E609" s="81" t="s">
        <v>34</v>
      </c>
      <c r="F609" s="165">
        <f>SUM(F610:F611)</f>
        <v>504013.4</v>
      </c>
      <c r="G609" s="356"/>
      <c r="H609" s="357"/>
      <c r="I609" s="358"/>
      <c r="J609" s="358"/>
      <c r="K609" s="359"/>
      <c r="L609" s="325"/>
    </row>
    <row r="610" spans="1:12" s="326" customFormat="1" ht="15">
      <c r="A610" s="407"/>
      <c r="B610" s="450"/>
      <c r="C610" s="401"/>
      <c r="D610" s="453"/>
      <c r="E610" s="323" t="s">
        <v>75</v>
      </c>
      <c r="F610" s="231">
        <v>300000</v>
      </c>
      <c r="G610" s="356"/>
      <c r="H610" s="357"/>
      <c r="I610" s="358"/>
      <c r="J610" s="358"/>
      <c r="K610" s="359"/>
      <c r="L610" s="325"/>
    </row>
    <row r="611" spans="1:12" s="326" customFormat="1" ht="13.5" customHeight="1">
      <c r="A611" s="408"/>
      <c r="B611" s="451"/>
      <c r="C611" s="402"/>
      <c r="D611" s="454"/>
      <c r="E611" s="323" t="s">
        <v>18</v>
      </c>
      <c r="F611" s="231">
        <v>204013.40000000002</v>
      </c>
      <c r="G611" s="356"/>
      <c r="H611" s="357"/>
      <c r="I611" s="358"/>
      <c r="J611" s="358"/>
      <c r="K611" s="359"/>
      <c r="L611" s="325"/>
    </row>
    <row r="612" spans="1:12" s="326" customFormat="1" ht="13.5" customHeight="1">
      <c r="A612" s="406" t="s">
        <v>799</v>
      </c>
      <c r="B612" s="449" t="s">
        <v>485</v>
      </c>
      <c r="C612" s="400"/>
      <c r="D612" s="452"/>
      <c r="E612" s="81" t="s">
        <v>34</v>
      </c>
      <c r="F612" s="165">
        <f>SUM(F613:F614)</f>
        <v>1785265.7</v>
      </c>
      <c r="G612" s="356"/>
      <c r="H612" s="357"/>
      <c r="I612" s="358"/>
      <c r="J612" s="358"/>
      <c r="K612" s="359"/>
      <c r="L612" s="325"/>
    </row>
    <row r="613" spans="1:12" s="326" customFormat="1" ht="15">
      <c r="A613" s="407"/>
      <c r="B613" s="450"/>
      <c r="C613" s="401"/>
      <c r="D613" s="453"/>
      <c r="E613" s="323" t="s">
        <v>75</v>
      </c>
      <c r="F613" s="231">
        <v>1205265.7</v>
      </c>
      <c r="G613" s="356"/>
      <c r="H613" s="357"/>
      <c r="I613" s="358"/>
      <c r="J613" s="358"/>
      <c r="K613" s="359"/>
      <c r="L613" s="325"/>
    </row>
    <row r="614" spans="1:12" s="326" customFormat="1" ht="13.5" customHeight="1">
      <c r="A614" s="408"/>
      <c r="B614" s="451"/>
      <c r="C614" s="402"/>
      <c r="D614" s="454"/>
      <c r="E614" s="323" t="s">
        <v>18</v>
      </c>
      <c r="F614" s="231">
        <v>580000</v>
      </c>
      <c r="G614" s="356"/>
      <c r="H614" s="357"/>
      <c r="I614" s="358"/>
      <c r="J614" s="358"/>
      <c r="K614" s="359"/>
      <c r="L614" s="325"/>
    </row>
    <row r="615" spans="1:12" s="326" customFormat="1" ht="13.5" customHeight="1">
      <c r="A615" s="406" t="s">
        <v>800</v>
      </c>
      <c r="B615" s="449" t="s">
        <v>486</v>
      </c>
      <c r="C615" s="400"/>
      <c r="D615" s="452"/>
      <c r="E615" s="81" t="s">
        <v>34</v>
      </c>
      <c r="F615" s="165">
        <f>SUM(F616:F617)</f>
        <v>2336685.6</v>
      </c>
      <c r="G615" s="356"/>
      <c r="H615" s="357"/>
      <c r="I615" s="358"/>
      <c r="J615" s="358"/>
      <c r="K615" s="359"/>
      <c r="L615" s="325"/>
    </row>
    <row r="616" spans="1:12" s="326" customFormat="1" ht="15">
      <c r="A616" s="407"/>
      <c r="B616" s="450"/>
      <c r="C616" s="401"/>
      <c r="D616" s="453"/>
      <c r="E616" s="323" t="s">
        <v>75</v>
      </c>
      <c r="F616" s="231">
        <v>2219851.32</v>
      </c>
      <c r="G616" s="356"/>
      <c r="H616" s="357"/>
      <c r="I616" s="358"/>
      <c r="J616" s="358"/>
      <c r="K616" s="359"/>
      <c r="L616" s="325"/>
    </row>
    <row r="617" spans="1:12" s="326" customFormat="1" ht="13.5" customHeight="1">
      <c r="A617" s="408"/>
      <c r="B617" s="451"/>
      <c r="C617" s="402"/>
      <c r="D617" s="454"/>
      <c r="E617" s="323" t="s">
        <v>18</v>
      </c>
      <c r="F617" s="231">
        <v>116834.28000000026</v>
      </c>
      <c r="G617" s="356"/>
      <c r="H617" s="357"/>
      <c r="I617" s="358"/>
      <c r="J617" s="358"/>
      <c r="K617" s="359"/>
      <c r="L617" s="325"/>
    </row>
    <row r="618" spans="1:12" s="326" customFormat="1" ht="13.5" customHeight="1">
      <c r="A618" s="406" t="s">
        <v>801</v>
      </c>
      <c r="B618" s="449" t="s">
        <v>487</v>
      </c>
      <c r="C618" s="400"/>
      <c r="D618" s="452"/>
      <c r="E618" s="81" t="s">
        <v>34</v>
      </c>
      <c r="F618" s="165">
        <f>SUM(F619:F620)</f>
        <v>1400055.8</v>
      </c>
      <c r="G618" s="356"/>
      <c r="H618" s="357"/>
      <c r="I618" s="358"/>
      <c r="J618" s="358"/>
      <c r="K618" s="359"/>
      <c r="L618" s="325"/>
    </row>
    <row r="619" spans="1:12" s="326" customFormat="1" ht="15">
      <c r="A619" s="407"/>
      <c r="B619" s="450"/>
      <c r="C619" s="401"/>
      <c r="D619" s="453"/>
      <c r="E619" s="323" t="s">
        <v>75</v>
      </c>
      <c r="F619" s="231">
        <v>1000055.8</v>
      </c>
      <c r="G619" s="356"/>
      <c r="H619" s="357"/>
      <c r="I619" s="358"/>
      <c r="J619" s="358"/>
      <c r="K619" s="359"/>
      <c r="L619" s="325"/>
    </row>
    <row r="620" spans="1:12" s="326" customFormat="1" ht="13.5" customHeight="1">
      <c r="A620" s="408"/>
      <c r="B620" s="451"/>
      <c r="C620" s="402"/>
      <c r="D620" s="454"/>
      <c r="E620" s="323" t="s">
        <v>18</v>
      </c>
      <c r="F620" s="231">
        <v>400000</v>
      </c>
      <c r="G620" s="356"/>
      <c r="H620" s="357"/>
      <c r="I620" s="358"/>
      <c r="J620" s="358"/>
      <c r="K620" s="359"/>
      <c r="L620" s="325"/>
    </row>
    <row r="621" spans="1:12" s="326" customFormat="1" ht="13.5" customHeight="1">
      <c r="A621" s="406" t="s">
        <v>802</v>
      </c>
      <c r="B621" s="449" t="s">
        <v>488</v>
      </c>
      <c r="C621" s="400"/>
      <c r="D621" s="452"/>
      <c r="E621" s="81" t="s">
        <v>34</v>
      </c>
      <c r="F621" s="165">
        <f>SUM(F622:F623)</f>
        <v>1108331.52</v>
      </c>
      <c r="G621" s="356"/>
      <c r="H621" s="357"/>
      <c r="I621" s="358"/>
      <c r="J621" s="358"/>
      <c r="K621" s="359"/>
      <c r="L621" s="325"/>
    </row>
    <row r="622" spans="1:12" s="326" customFormat="1" ht="15">
      <c r="A622" s="407"/>
      <c r="B622" s="450"/>
      <c r="C622" s="401"/>
      <c r="D622" s="453"/>
      <c r="E622" s="323" t="s">
        <v>75</v>
      </c>
      <c r="F622" s="231">
        <v>1000331.52</v>
      </c>
      <c r="G622" s="356"/>
      <c r="H622" s="357"/>
      <c r="I622" s="358"/>
      <c r="J622" s="358"/>
      <c r="K622" s="359"/>
      <c r="L622" s="325"/>
    </row>
    <row r="623" spans="1:12" s="326" customFormat="1" ht="13.5" customHeight="1">
      <c r="A623" s="408"/>
      <c r="B623" s="451"/>
      <c r="C623" s="402"/>
      <c r="D623" s="454"/>
      <c r="E623" s="323" t="s">
        <v>18</v>
      </c>
      <c r="F623" s="231">
        <v>108000</v>
      </c>
      <c r="G623" s="356"/>
      <c r="H623" s="357"/>
      <c r="I623" s="358"/>
      <c r="J623" s="358"/>
      <c r="K623" s="359"/>
      <c r="L623" s="325"/>
    </row>
    <row r="624" spans="1:12" s="326" customFormat="1" ht="13.5" customHeight="1">
      <c r="A624" s="406" t="s">
        <v>803</v>
      </c>
      <c r="B624" s="449" t="s">
        <v>489</v>
      </c>
      <c r="C624" s="400"/>
      <c r="D624" s="452"/>
      <c r="E624" s="81" t="s">
        <v>34</v>
      </c>
      <c r="F624" s="165">
        <f>SUM(F625:F626)</f>
        <v>1000170.4</v>
      </c>
      <c r="G624" s="356"/>
      <c r="H624" s="357"/>
      <c r="I624" s="358"/>
      <c r="J624" s="358"/>
      <c r="K624" s="359"/>
      <c r="L624" s="325"/>
    </row>
    <row r="625" spans="1:12" s="326" customFormat="1" ht="15">
      <c r="A625" s="407"/>
      <c r="B625" s="450"/>
      <c r="C625" s="401"/>
      <c r="D625" s="453"/>
      <c r="E625" s="323" t="s">
        <v>75</v>
      </c>
      <c r="F625" s="231">
        <v>950161.88</v>
      </c>
      <c r="G625" s="356"/>
      <c r="H625" s="357"/>
      <c r="I625" s="358"/>
      <c r="J625" s="358"/>
      <c r="K625" s="359"/>
      <c r="L625" s="325"/>
    </row>
    <row r="626" spans="1:12" s="326" customFormat="1" ht="13.5" customHeight="1">
      <c r="A626" s="408"/>
      <c r="B626" s="451"/>
      <c r="C626" s="402"/>
      <c r="D626" s="454"/>
      <c r="E626" s="323" t="s">
        <v>18</v>
      </c>
      <c r="F626" s="231">
        <v>50008.52000000002</v>
      </c>
      <c r="G626" s="356"/>
      <c r="H626" s="357"/>
      <c r="I626" s="358"/>
      <c r="J626" s="358"/>
      <c r="K626" s="359"/>
      <c r="L626" s="325"/>
    </row>
    <row r="627" spans="1:12" s="326" customFormat="1" ht="13.5" customHeight="1">
      <c r="A627" s="406" t="s">
        <v>804</v>
      </c>
      <c r="B627" s="449" t="s">
        <v>490</v>
      </c>
      <c r="C627" s="400"/>
      <c r="D627" s="452"/>
      <c r="E627" s="81" t="s">
        <v>34</v>
      </c>
      <c r="F627" s="272">
        <f>SUM(F628:F629)</f>
        <v>1365186.84</v>
      </c>
      <c r="G627" s="356"/>
      <c r="H627" s="357"/>
      <c r="I627" s="358"/>
      <c r="J627" s="358"/>
      <c r="K627" s="359"/>
      <c r="L627" s="325"/>
    </row>
    <row r="628" spans="1:12" s="326" customFormat="1" ht="15">
      <c r="A628" s="407"/>
      <c r="B628" s="450"/>
      <c r="C628" s="401"/>
      <c r="D628" s="453"/>
      <c r="E628" s="323" t="s">
        <v>75</v>
      </c>
      <c r="F628" s="231">
        <v>1296927.49</v>
      </c>
      <c r="G628" s="356"/>
      <c r="H628" s="357"/>
      <c r="I628" s="358"/>
      <c r="J628" s="358"/>
      <c r="K628" s="359"/>
      <c r="L628" s="325"/>
    </row>
    <row r="629" spans="1:12" s="326" customFormat="1" ht="13.5" customHeight="1">
      <c r="A629" s="408"/>
      <c r="B629" s="451"/>
      <c r="C629" s="402"/>
      <c r="D629" s="454"/>
      <c r="E629" s="323" t="s">
        <v>18</v>
      </c>
      <c r="F629" s="231">
        <v>68259.3500000001</v>
      </c>
      <c r="G629" s="356"/>
      <c r="H629" s="357"/>
      <c r="I629" s="358"/>
      <c r="J629" s="358"/>
      <c r="K629" s="359"/>
      <c r="L629" s="325"/>
    </row>
    <row r="630" spans="1:12" s="326" customFormat="1" ht="13.5" customHeight="1">
      <c r="A630" s="406" t="s">
        <v>805</v>
      </c>
      <c r="B630" s="449" t="s">
        <v>491</v>
      </c>
      <c r="C630" s="400"/>
      <c r="D630" s="452"/>
      <c r="E630" s="81" t="s">
        <v>34</v>
      </c>
      <c r="F630" s="165">
        <f>SUM(F631:F632)</f>
        <v>740013.4</v>
      </c>
      <c r="G630" s="356"/>
      <c r="H630" s="357"/>
      <c r="I630" s="358"/>
      <c r="J630" s="358"/>
      <c r="K630" s="359"/>
      <c r="L630" s="325"/>
    </row>
    <row r="631" spans="1:12" s="326" customFormat="1" ht="15">
      <c r="A631" s="407"/>
      <c r="B631" s="450"/>
      <c r="C631" s="401"/>
      <c r="D631" s="453"/>
      <c r="E631" s="323" t="s">
        <v>75</v>
      </c>
      <c r="F631" s="231">
        <v>703012</v>
      </c>
      <c r="G631" s="356"/>
      <c r="H631" s="357"/>
      <c r="I631" s="358"/>
      <c r="J631" s="358"/>
      <c r="K631" s="359"/>
      <c r="L631" s="325"/>
    </row>
    <row r="632" spans="1:12" s="326" customFormat="1" ht="13.5" customHeight="1">
      <c r="A632" s="408"/>
      <c r="B632" s="451"/>
      <c r="C632" s="402"/>
      <c r="D632" s="454"/>
      <c r="E632" s="323" t="s">
        <v>18</v>
      </c>
      <c r="F632" s="231">
        <v>37001.40000000002</v>
      </c>
      <c r="G632" s="356"/>
      <c r="H632" s="357"/>
      <c r="I632" s="358"/>
      <c r="J632" s="358"/>
      <c r="K632" s="359"/>
      <c r="L632" s="325"/>
    </row>
    <row r="633" spans="1:12" s="326" customFormat="1" ht="13.5" customHeight="1">
      <c r="A633" s="406" t="s">
        <v>806</v>
      </c>
      <c r="B633" s="449" t="s">
        <v>492</v>
      </c>
      <c r="C633" s="400"/>
      <c r="D633" s="452"/>
      <c r="E633" s="81" t="s">
        <v>34</v>
      </c>
      <c r="F633" s="165">
        <f>SUM(F634:F635)</f>
        <v>9999998.5</v>
      </c>
      <c r="G633" s="356"/>
      <c r="H633" s="357"/>
      <c r="I633" s="358"/>
      <c r="J633" s="358"/>
      <c r="K633" s="359"/>
      <c r="L633" s="325"/>
    </row>
    <row r="634" spans="1:12" s="326" customFormat="1" ht="15">
      <c r="A634" s="407"/>
      <c r="B634" s="450"/>
      <c r="C634" s="401"/>
      <c r="D634" s="453"/>
      <c r="E634" s="323" t="s">
        <v>75</v>
      </c>
      <c r="F634" s="237">
        <v>9499998.57</v>
      </c>
      <c r="G634" s="356"/>
      <c r="H634" s="357"/>
      <c r="I634" s="358"/>
      <c r="J634" s="358"/>
      <c r="K634" s="359"/>
      <c r="L634" s="325"/>
    </row>
    <row r="635" spans="1:12" s="326" customFormat="1" ht="13.5" customHeight="1">
      <c r="A635" s="408"/>
      <c r="B635" s="451"/>
      <c r="C635" s="402"/>
      <c r="D635" s="454"/>
      <c r="E635" s="323" t="s">
        <v>18</v>
      </c>
      <c r="F635" s="237">
        <v>499999.9299999997</v>
      </c>
      <c r="G635" s="356"/>
      <c r="H635" s="357"/>
      <c r="I635" s="358"/>
      <c r="J635" s="358"/>
      <c r="K635" s="359"/>
      <c r="L635" s="325"/>
    </row>
    <row r="636" spans="1:12" s="326" customFormat="1" ht="13.5" customHeight="1">
      <c r="A636" s="406" t="s">
        <v>807</v>
      </c>
      <c r="B636" s="449" t="s">
        <v>493</v>
      </c>
      <c r="C636" s="400"/>
      <c r="D636" s="452"/>
      <c r="E636" s="81" t="s">
        <v>34</v>
      </c>
      <c r="F636" s="165">
        <f>SUM(F637:F638)</f>
        <v>1085594.1</v>
      </c>
      <c r="G636" s="356"/>
      <c r="H636" s="357"/>
      <c r="I636" s="358"/>
      <c r="J636" s="358"/>
      <c r="K636" s="359"/>
      <c r="L636" s="325"/>
    </row>
    <row r="637" spans="1:12" s="326" customFormat="1" ht="15">
      <c r="A637" s="407"/>
      <c r="B637" s="450"/>
      <c r="C637" s="401"/>
      <c r="D637" s="453"/>
      <c r="E637" s="323" t="s">
        <v>75</v>
      </c>
      <c r="F637" s="231">
        <v>1000000</v>
      </c>
      <c r="G637" s="356"/>
      <c r="H637" s="357"/>
      <c r="I637" s="358"/>
      <c r="J637" s="358"/>
      <c r="K637" s="359"/>
      <c r="L637" s="325"/>
    </row>
    <row r="638" spans="1:12" s="326" customFormat="1" ht="13.5" customHeight="1">
      <c r="A638" s="408"/>
      <c r="B638" s="451"/>
      <c r="C638" s="402"/>
      <c r="D638" s="454"/>
      <c r="E638" s="323" t="s">
        <v>18</v>
      </c>
      <c r="F638" s="231">
        <v>85594.1000000001</v>
      </c>
      <c r="G638" s="356"/>
      <c r="H638" s="357"/>
      <c r="I638" s="358"/>
      <c r="J638" s="358"/>
      <c r="K638" s="359"/>
      <c r="L638" s="325"/>
    </row>
    <row r="639" spans="1:12" s="326" customFormat="1" ht="13.5" customHeight="1">
      <c r="A639" s="406" t="s">
        <v>808</v>
      </c>
      <c r="B639" s="449" t="s">
        <v>494</v>
      </c>
      <c r="C639" s="400"/>
      <c r="D639" s="452"/>
      <c r="E639" s="81" t="s">
        <v>34</v>
      </c>
      <c r="F639" s="165">
        <f>SUM(F640:F641)</f>
        <v>1053794.28</v>
      </c>
      <c r="G639" s="356"/>
      <c r="H639" s="357"/>
      <c r="I639" s="358"/>
      <c r="J639" s="358"/>
      <c r="K639" s="359"/>
      <c r="L639" s="325"/>
    </row>
    <row r="640" spans="1:12" s="326" customFormat="1" ht="15">
      <c r="A640" s="407"/>
      <c r="B640" s="450"/>
      <c r="C640" s="401"/>
      <c r="D640" s="453"/>
      <c r="E640" s="323" t="s">
        <v>75</v>
      </c>
      <c r="F640" s="231">
        <v>1000000</v>
      </c>
      <c r="G640" s="356"/>
      <c r="H640" s="357"/>
      <c r="I640" s="358"/>
      <c r="J640" s="358"/>
      <c r="K640" s="359"/>
      <c r="L640" s="325"/>
    </row>
    <row r="641" spans="1:12" s="326" customFormat="1" ht="13.5" customHeight="1">
      <c r="A641" s="408"/>
      <c r="B641" s="451"/>
      <c r="C641" s="402"/>
      <c r="D641" s="454"/>
      <c r="E641" s="323" t="s">
        <v>18</v>
      </c>
      <c r="F641" s="231">
        <v>53794.28000000003</v>
      </c>
      <c r="G641" s="356"/>
      <c r="H641" s="357"/>
      <c r="I641" s="358"/>
      <c r="J641" s="358"/>
      <c r="K641" s="359"/>
      <c r="L641" s="325"/>
    </row>
    <row r="642" spans="1:12" s="326" customFormat="1" ht="15">
      <c r="A642" s="406" t="s">
        <v>809</v>
      </c>
      <c r="B642" s="449" t="s">
        <v>495</v>
      </c>
      <c r="C642" s="400"/>
      <c r="D642" s="452"/>
      <c r="E642" s="81" t="s">
        <v>34</v>
      </c>
      <c r="F642" s="165">
        <f>SUM(F643:F644)</f>
        <v>2150817.86</v>
      </c>
      <c r="G642" s="356"/>
      <c r="H642" s="357"/>
      <c r="I642" s="358"/>
      <c r="J642" s="358"/>
      <c r="K642" s="359"/>
      <c r="L642" s="325"/>
    </row>
    <row r="643" spans="1:12" s="326" customFormat="1" ht="15">
      <c r="A643" s="407"/>
      <c r="B643" s="450"/>
      <c r="C643" s="401"/>
      <c r="D643" s="453"/>
      <c r="E643" s="323" t="s">
        <v>75</v>
      </c>
      <c r="F643" s="231">
        <v>2000000</v>
      </c>
      <c r="G643" s="356"/>
      <c r="H643" s="357"/>
      <c r="I643" s="358"/>
      <c r="J643" s="358"/>
      <c r="K643" s="359"/>
      <c r="L643" s="325"/>
    </row>
    <row r="644" spans="1:12" s="326" customFormat="1" ht="13.5" customHeight="1">
      <c r="A644" s="408"/>
      <c r="B644" s="451"/>
      <c r="C644" s="402"/>
      <c r="D644" s="454"/>
      <c r="E644" s="323" t="s">
        <v>18</v>
      </c>
      <c r="F644" s="231">
        <v>150817.85999999987</v>
      </c>
      <c r="G644" s="356"/>
      <c r="H644" s="357"/>
      <c r="I644" s="358"/>
      <c r="J644" s="358"/>
      <c r="K644" s="359"/>
      <c r="L644" s="325"/>
    </row>
    <row r="645" spans="1:12" s="326" customFormat="1" ht="13.5" customHeight="1">
      <c r="A645" s="406" t="s">
        <v>810</v>
      </c>
      <c r="B645" s="449" t="s">
        <v>496</v>
      </c>
      <c r="C645" s="400"/>
      <c r="D645" s="452"/>
      <c r="E645" s="81" t="s">
        <v>34</v>
      </c>
      <c r="F645" s="165">
        <f>SUM(F646:F647)</f>
        <v>4223343.9</v>
      </c>
      <c r="G645" s="356"/>
      <c r="H645" s="357"/>
      <c r="I645" s="358"/>
      <c r="J645" s="358"/>
      <c r="K645" s="359"/>
      <c r="L645" s="325"/>
    </row>
    <row r="646" spans="1:12" s="326" customFormat="1" ht="15">
      <c r="A646" s="407"/>
      <c r="B646" s="450"/>
      <c r="C646" s="401"/>
      <c r="D646" s="453"/>
      <c r="E646" s="323" t="s">
        <v>75</v>
      </c>
      <c r="F646" s="231">
        <v>3999506.67</v>
      </c>
      <c r="G646" s="356"/>
      <c r="H646" s="357"/>
      <c r="I646" s="358"/>
      <c r="J646" s="358"/>
      <c r="K646" s="359"/>
      <c r="L646" s="325"/>
    </row>
    <row r="647" spans="1:12" s="326" customFormat="1" ht="15">
      <c r="A647" s="408"/>
      <c r="B647" s="451"/>
      <c r="C647" s="402"/>
      <c r="D647" s="454"/>
      <c r="E647" s="323" t="s">
        <v>18</v>
      </c>
      <c r="F647" s="231">
        <v>223837.23000000045</v>
      </c>
      <c r="G647" s="356"/>
      <c r="H647" s="357"/>
      <c r="I647" s="358"/>
      <c r="J647" s="358"/>
      <c r="K647" s="359"/>
      <c r="L647" s="325"/>
    </row>
    <row r="648" spans="1:12" s="326" customFormat="1" ht="13.5" customHeight="1">
      <c r="A648" s="406" t="s">
        <v>811</v>
      </c>
      <c r="B648" s="449" t="s">
        <v>497</v>
      </c>
      <c r="C648" s="400"/>
      <c r="D648" s="452"/>
      <c r="E648" s="81" t="s">
        <v>34</v>
      </c>
      <c r="F648" s="165">
        <f>SUM(F649:F650)</f>
        <v>1057163.18</v>
      </c>
      <c r="G648" s="356"/>
      <c r="H648" s="357"/>
      <c r="I648" s="358"/>
      <c r="J648" s="358"/>
      <c r="K648" s="359"/>
      <c r="L648" s="325"/>
    </row>
    <row r="649" spans="1:12" s="326" customFormat="1" ht="15">
      <c r="A649" s="407"/>
      <c r="B649" s="450"/>
      <c r="C649" s="401"/>
      <c r="D649" s="453"/>
      <c r="E649" s="323" t="s">
        <v>75</v>
      </c>
      <c r="F649" s="231">
        <v>1000000</v>
      </c>
      <c r="G649" s="356"/>
      <c r="H649" s="357"/>
      <c r="I649" s="358"/>
      <c r="J649" s="358"/>
      <c r="K649" s="359"/>
      <c r="L649" s="325"/>
    </row>
    <row r="650" spans="1:12" s="326" customFormat="1" ht="13.5" customHeight="1">
      <c r="A650" s="408"/>
      <c r="B650" s="451"/>
      <c r="C650" s="402"/>
      <c r="D650" s="454"/>
      <c r="E650" s="323" t="s">
        <v>18</v>
      </c>
      <c r="F650" s="231">
        <v>57163.179999999935</v>
      </c>
      <c r="G650" s="356"/>
      <c r="H650" s="357"/>
      <c r="I650" s="358"/>
      <c r="J650" s="358"/>
      <c r="K650" s="359"/>
      <c r="L650" s="325"/>
    </row>
    <row r="651" spans="1:12" s="326" customFormat="1" ht="13.5" customHeight="1">
      <c r="A651" s="406" t="s">
        <v>812</v>
      </c>
      <c r="B651" s="449" t="s">
        <v>498</v>
      </c>
      <c r="C651" s="400"/>
      <c r="D651" s="452"/>
      <c r="E651" s="81" t="s">
        <v>34</v>
      </c>
      <c r="F651" s="165">
        <f>SUM(F652:F653)</f>
        <v>1056792.66</v>
      </c>
      <c r="G651" s="356"/>
      <c r="H651" s="357"/>
      <c r="I651" s="358"/>
      <c r="J651" s="358"/>
      <c r="K651" s="359"/>
      <c r="L651" s="325"/>
    </row>
    <row r="652" spans="1:12" s="326" customFormat="1" ht="15">
      <c r="A652" s="407"/>
      <c r="B652" s="450"/>
      <c r="C652" s="401"/>
      <c r="D652" s="453"/>
      <c r="E652" s="323" t="s">
        <v>75</v>
      </c>
      <c r="F652" s="231">
        <v>1000000</v>
      </c>
      <c r="G652" s="356"/>
      <c r="H652" s="357"/>
      <c r="I652" s="358"/>
      <c r="J652" s="358"/>
      <c r="K652" s="359"/>
      <c r="L652" s="325"/>
    </row>
    <row r="653" spans="1:12" s="326" customFormat="1" ht="13.5" customHeight="1">
      <c r="A653" s="408"/>
      <c r="B653" s="451"/>
      <c r="C653" s="402"/>
      <c r="D653" s="454"/>
      <c r="E653" s="323" t="s">
        <v>18</v>
      </c>
      <c r="F653" s="231">
        <v>56792.659999999916</v>
      </c>
      <c r="G653" s="356"/>
      <c r="H653" s="357"/>
      <c r="I653" s="358"/>
      <c r="J653" s="358"/>
      <c r="K653" s="359"/>
      <c r="L653" s="325"/>
    </row>
    <row r="654" spans="1:12" s="326" customFormat="1" ht="13.5" customHeight="1">
      <c r="A654" s="406" t="s">
        <v>813</v>
      </c>
      <c r="B654" s="449" t="s">
        <v>499</v>
      </c>
      <c r="C654" s="400"/>
      <c r="D654" s="452"/>
      <c r="E654" s="81" t="s">
        <v>34</v>
      </c>
      <c r="F654" s="165">
        <f>SUM(F655:F656)</f>
        <v>3376429.65</v>
      </c>
      <c r="G654" s="356"/>
      <c r="H654" s="357"/>
      <c r="I654" s="358"/>
      <c r="J654" s="358"/>
      <c r="K654" s="359"/>
      <c r="L654" s="325"/>
    </row>
    <row r="655" spans="1:12" s="326" customFormat="1" ht="15">
      <c r="A655" s="407"/>
      <c r="B655" s="450"/>
      <c r="C655" s="401"/>
      <c r="D655" s="453"/>
      <c r="E655" s="323" t="s">
        <v>75</v>
      </c>
      <c r="F655" s="231">
        <v>3207608.16</v>
      </c>
      <c r="G655" s="356"/>
      <c r="H655" s="357"/>
      <c r="I655" s="358"/>
      <c r="J655" s="358"/>
      <c r="K655" s="359"/>
      <c r="L655" s="325"/>
    </row>
    <row r="656" spans="1:12" s="326" customFormat="1" ht="15">
      <c r="A656" s="408"/>
      <c r="B656" s="451"/>
      <c r="C656" s="402"/>
      <c r="D656" s="454"/>
      <c r="E656" s="323" t="s">
        <v>18</v>
      </c>
      <c r="F656" s="231">
        <v>168821.48999999976</v>
      </c>
      <c r="G656" s="356"/>
      <c r="H656" s="357"/>
      <c r="I656" s="358"/>
      <c r="J656" s="358"/>
      <c r="K656" s="359"/>
      <c r="L656" s="325"/>
    </row>
    <row r="657" spans="1:12" s="326" customFormat="1" ht="13.5" customHeight="1">
      <c r="A657" s="406" t="s">
        <v>814</v>
      </c>
      <c r="B657" s="449" t="s">
        <v>500</v>
      </c>
      <c r="C657" s="400"/>
      <c r="D657" s="452"/>
      <c r="E657" s="81" t="s">
        <v>34</v>
      </c>
      <c r="F657" s="165">
        <f>SUM(F658:F659)</f>
        <v>3510111.78</v>
      </c>
      <c r="G657" s="356"/>
      <c r="H657" s="357"/>
      <c r="I657" s="358"/>
      <c r="J657" s="358"/>
      <c r="K657" s="359"/>
      <c r="L657" s="325"/>
    </row>
    <row r="658" spans="1:12" s="326" customFormat="1" ht="15">
      <c r="A658" s="407"/>
      <c r="B658" s="450"/>
      <c r="C658" s="401"/>
      <c r="D658" s="453"/>
      <c r="E658" s="323" t="s">
        <v>75</v>
      </c>
      <c r="F658" s="231">
        <v>3334606</v>
      </c>
      <c r="G658" s="356"/>
      <c r="H658" s="357"/>
      <c r="I658" s="358"/>
      <c r="J658" s="358"/>
      <c r="K658" s="359"/>
      <c r="L658" s="325"/>
    </row>
    <row r="659" spans="1:12" s="326" customFormat="1" ht="13.5" customHeight="1">
      <c r="A659" s="408"/>
      <c r="B659" s="451"/>
      <c r="C659" s="402"/>
      <c r="D659" s="454"/>
      <c r="E659" s="323" t="s">
        <v>18</v>
      </c>
      <c r="F659" s="231">
        <v>175505.7799999998</v>
      </c>
      <c r="G659" s="356"/>
      <c r="H659" s="357"/>
      <c r="I659" s="358"/>
      <c r="J659" s="358"/>
      <c r="K659" s="359"/>
      <c r="L659" s="325"/>
    </row>
    <row r="660" spans="1:12" s="326" customFormat="1" ht="13.5" customHeight="1">
      <c r="A660" s="406" t="s">
        <v>815</v>
      </c>
      <c r="B660" s="449" t="s">
        <v>501</v>
      </c>
      <c r="C660" s="400"/>
      <c r="D660" s="452"/>
      <c r="E660" s="81" t="s">
        <v>34</v>
      </c>
      <c r="F660" s="165">
        <f>SUM(F661:F662)</f>
        <v>3606447.45</v>
      </c>
      <c r="G660" s="356"/>
      <c r="H660" s="357"/>
      <c r="I660" s="358"/>
      <c r="J660" s="358"/>
      <c r="K660" s="359"/>
      <c r="L660" s="325"/>
    </row>
    <row r="661" spans="1:12" s="326" customFormat="1" ht="15">
      <c r="A661" s="407"/>
      <c r="B661" s="450"/>
      <c r="C661" s="401"/>
      <c r="D661" s="453"/>
      <c r="E661" s="323" t="s">
        <v>75</v>
      </c>
      <c r="F661" s="231">
        <v>3426125.07</v>
      </c>
      <c r="G661" s="356"/>
      <c r="H661" s="357"/>
      <c r="I661" s="358"/>
      <c r="J661" s="358"/>
      <c r="K661" s="359"/>
      <c r="L661" s="325"/>
    </row>
    <row r="662" spans="1:12" s="326" customFormat="1" ht="13.5" customHeight="1">
      <c r="A662" s="408"/>
      <c r="B662" s="451"/>
      <c r="C662" s="402"/>
      <c r="D662" s="454"/>
      <c r="E662" s="323" t="s">
        <v>18</v>
      </c>
      <c r="F662" s="231">
        <v>180322.38000000035</v>
      </c>
      <c r="G662" s="356"/>
      <c r="H662" s="357"/>
      <c r="I662" s="358"/>
      <c r="J662" s="358"/>
      <c r="K662" s="359"/>
      <c r="L662" s="325"/>
    </row>
    <row r="663" spans="1:12" s="326" customFormat="1" ht="13.5" customHeight="1">
      <c r="A663" s="406" t="s">
        <v>816</v>
      </c>
      <c r="B663" s="449" t="s">
        <v>502</v>
      </c>
      <c r="C663" s="400"/>
      <c r="D663" s="452"/>
      <c r="E663" s="81" t="s">
        <v>34</v>
      </c>
      <c r="F663" s="165">
        <f>SUM(F664:F665)</f>
        <v>1054358.32</v>
      </c>
      <c r="G663" s="356"/>
      <c r="H663" s="357"/>
      <c r="I663" s="358"/>
      <c r="J663" s="358"/>
      <c r="K663" s="359"/>
      <c r="L663" s="325"/>
    </row>
    <row r="664" spans="1:12" s="326" customFormat="1" ht="15">
      <c r="A664" s="407"/>
      <c r="B664" s="450"/>
      <c r="C664" s="401"/>
      <c r="D664" s="453"/>
      <c r="E664" s="323" t="s">
        <v>75</v>
      </c>
      <c r="F664" s="231">
        <v>1000000</v>
      </c>
      <c r="G664" s="356"/>
      <c r="H664" s="357"/>
      <c r="I664" s="358"/>
      <c r="J664" s="358"/>
      <c r="K664" s="359"/>
      <c r="L664" s="325"/>
    </row>
    <row r="665" spans="1:12" s="326" customFormat="1" ht="13.5" customHeight="1">
      <c r="A665" s="408"/>
      <c r="B665" s="451"/>
      <c r="C665" s="402"/>
      <c r="D665" s="454"/>
      <c r="E665" s="323" t="s">
        <v>18</v>
      </c>
      <c r="F665" s="237">
        <v>54358.320000000065</v>
      </c>
      <c r="G665" s="356"/>
      <c r="H665" s="357"/>
      <c r="I665" s="358"/>
      <c r="J665" s="358"/>
      <c r="K665" s="359"/>
      <c r="L665" s="325"/>
    </row>
    <row r="666" spans="1:12" s="326" customFormat="1" ht="15">
      <c r="A666" s="406" t="s">
        <v>817</v>
      </c>
      <c r="B666" s="449" t="s">
        <v>503</v>
      </c>
      <c r="C666" s="400"/>
      <c r="D666" s="452"/>
      <c r="E666" s="81" t="s">
        <v>34</v>
      </c>
      <c r="F666" s="165">
        <f>SUM(F667:F668)</f>
        <v>1580611.18</v>
      </c>
      <c r="G666" s="356"/>
      <c r="H666" s="357"/>
      <c r="I666" s="358"/>
      <c r="J666" s="358"/>
      <c r="K666" s="359"/>
      <c r="L666" s="325"/>
    </row>
    <row r="667" spans="1:12" s="326" customFormat="1" ht="15">
      <c r="A667" s="407"/>
      <c r="B667" s="450"/>
      <c r="C667" s="401"/>
      <c r="D667" s="453"/>
      <c r="E667" s="323" t="s">
        <v>75</v>
      </c>
      <c r="F667" s="231">
        <v>1500000</v>
      </c>
      <c r="G667" s="356"/>
      <c r="H667" s="357"/>
      <c r="I667" s="358"/>
      <c r="J667" s="358"/>
      <c r="K667" s="359"/>
      <c r="L667" s="325"/>
    </row>
    <row r="668" spans="1:12" s="326" customFormat="1" ht="13.5" customHeight="1">
      <c r="A668" s="408"/>
      <c r="B668" s="451"/>
      <c r="C668" s="402"/>
      <c r="D668" s="454"/>
      <c r="E668" s="323" t="s">
        <v>18</v>
      </c>
      <c r="F668" s="231">
        <v>80611.17999999993</v>
      </c>
      <c r="G668" s="356"/>
      <c r="H668" s="357"/>
      <c r="I668" s="358"/>
      <c r="J668" s="358"/>
      <c r="K668" s="359"/>
      <c r="L668" s="325"/>
    </row>
    <row r="669" spans="1:12" s="326" customFormat="1" ht="13.5" customHeight="1">
      <c r="A669" s="406" t="s">
        <v>818</v>
      </c>
      <c r="B669" s="449" t="s">
        <v>504</v>
      </c>
      <c r="C669" s="400"/>
      <c r="D669" s="452"/>
      <c r="E669" s="81" t="s">
        <v>34</v>
      </c>
      <c r="F669" s="165">
        <f>SUM(F670:F671)</f>
        <v>4212284.94</v>
      </c>
      <c r="G669" s="356"/>
      <c r="H669" s="357"/>
      <c r="I669" s="358"/>
      <c r="J669" s="358"/>
      <c r="K669" s="359"/>
      <c r="L669" s="325"/>
    </row>
    <row r="670" spans="1:12" s="326" customFormat="1" ht="15">
      <c r="A670" s="407"/>
      <c r="B670" s="450"/>
      <c r="C670" s="401"/>
      <c r="D670" s="453"/>
      <c r="E670" s="323" t="s">
        <v>75</v>
      </c>
      <c r="F670" s="231">
        <v>4000000</v>
      </c>
      <c r="G670" s="356"/>
      <c r="H670" s="357"/>
      <c r="I670" s="358"/>
      <c r="J670" s="358"/>
      <c r="K670" s="359"/>
      <c r="L670" s="325"/>
    </row>
    <row r="671" spans="1:12" s="326" customFormat="1" ht="15">
      <c r="A671" s="408"/>
      <c r="B671" s="451"/>
      <c r="C671" s="402"/>
      <c r="D671" s="454"/>
      <c r="E671" s="323" t="s">
        <v>18</v>
      </c>
      <c r="F671" s="231">
        <v>212284.9400000004</v>
      </c>
      <c r="G671" s="356"/>
      <c r="H671" s="357"/>
      <c r="I671" s="358"/>
      <c r="J671" s="358"/>
      <c r="K671" s="359"/>
      <c r="L671" s="325"/>
    </row>
    <row r="672" spans="1:12" s="326" customFormat="1" ht="15">
      <c r="A672" s="406" t="s">
        <v>819</v>
      </c>
      <c r="B672" s="449" t="s">
        <v>505</v>
      </c>
      <c r="C672" s="400"/>
      <c r="D672" s="452"/>
      <c r="E672" s="81" t="s">
        <v>34</v>
      </c>
      <c r="F672" s="165">
        <f>SUM(F673:F674)</f>
        <v>1579906.72</v>
      </c>
      <c r="G672" s="356"/>
      <c r="H672" s="357"/>
      <c r="I672" s="358"/>
      <c r="J672" s="358"/>
      <c r="K672" s="359"/>
      <c r="L672" s="325"/>
    </row>
    <row r="673" spans="1:12" s="326" customFormat="1" ht="15">
      <c r="A673" s="407"/>
      <c r="B673" s="450"/>
      <c r="C673" s="401"/>
      <c r="D673" s="453"/>
      <c r="E673" s="323" t="s">
        <v>75</v>
      </c>
      <c r="F673" s="231">
        <v>1500000</v>
      </c>
      <c r="G673" s="356"/>
      <c r="H673" s="357"/>
      <c r="I673" s="358"/>
      <c r="J673" s="358"/>
      <c r="K673" s="359"/>
      <c r="L673" s="325"/>
    </row>
    <row r="674" spans="1:12" s="326" customFormat="1" ht="15">
      <c r="A674" s="408"/>
      <c r="B674" s="451"/>
      <c r="C674" s="402"/>
      <c r="D674" s="454"/>
      <c r="E674" s="323" t="s">
        <v>18</v>
      </c>
      <c r="F674" s="237">
        <v>79906.71999999997</v>
      </c>
      <c r="G674" s="356"/>
      <c r="H674" s="357"/>
      <c r="I674" s="358"/>
      <c r="J674" s="358"/>
      <c r="K674" s="359"/>
      <c r="L674" s="325"/>
    </row>
    <row r="675" spans="1:12" s="326" customFormat="1" ht="15">
      <c r="A675" s="406" t="s">
        <v>820</v>
      </c>
      <c r="B675" s="449" t="s">
        <v>506</v>
      </c>
      <c r="C675" s="400"/>
      <c r="D675" s="452"/>
      <c r="E675" s="81" t="s">
        <v>34</v>
      </c>
      <c r="F675" s="165">
        <f>SUM(F676:F677)</f>
        <v>2108554.98</v>
      </c>
      <c r="G675" s="356"/>
      <c r="H675" s="357"/>
      <c r="I675" s="358"/>
      <c r="J675" s="358"/>
      <c r="K675" s="359"/>
      <c r="L675" s="325"/>
    </row>
    <row r="676" spans="1:12" s="326" customFormat="1" ht="15">
      <c r="A676" s="407"/>
      <c r="B676" s="450"/>
      <c r="C676" s="401"/>
      <c r="D676" s="453"/>
      <c r="E676" s="323" t="s">
        <v>75</v>
      </c>
      <c r="F676" s="231">
        <v>2000000</v>
      </c>
      <c r="G676" s="356"/>
      <c r="H676" s="357"/>
      <c r="I676" s="358"/>
      <c r="J676" s="358"/>
      <c r="K676" s="359"/>
      <c r="L676" s="325"/>
    </row>
    <row r="677" spans="1:12" s="326" customFormat="1" ht="15">
      <c r="A677" s="408"/>
      <c r="B677" s="451"/>
      <c r="C677" s="402"/>
      <c r="D677" s="454"/>
      <c r="E677" s="323" t="s">
        <v>18</v>
      </c>
      <c r="F677" s="231">
        <v>108554.97999999998</v>
      </c>
      <c r="G677" s="356"/>
      <c r="H677" s="357"/>
      <c r="I677" s="358"/>
      <c r="J677" s="358"/>
      <c r="K677" s="359"/>
      <c r="L677" s="325"/>
    </row>
    <row r="678" spans="1:12" s="326" customFormat="1" ht="15">
      <c r="A678" s="406" t="s">
        <v>821</v>
      </c>
      <c r="B678" s="449" t="s">
        <v>507</v>
      </c>
      <c r="C678" s="400"/>
      <c r="D678" s="452"/>
      <c r="E678" s="81" t="s">
        <v>34</v>
      </c>
      <c r="F678" s="165">
        <f>SUM(F679:F680)</f>
        <v>2691819.52</v>
      </c>
      <c r="G678" s="356"/>
      <c r="H678" s="357"/>
      <c r="I678" s="358"/>
      <c r="J678" s="358"/>
      <c r="K678" s="359"/>
      <c r="L678" s="325"/>
    </row>
    <row r="679" spans="1:12" s="326" customFormat="1" ht="15">
      <c r="A679" s="407"/>
      <c r="B679" s="450"/>
      <c r="C679" s="401"/>
      <c r="D679" s="453"/>
      <c r="E679" s="323" t="s">
        <v>75</v>
      </c>
      <c r="F679" s="231">
        <v>2557228.54</v>
      </c>
      <c r="G679" s="356"/>
      <c r="H679" s="357"/>
      <c r="I679" s="358"/>
      <c r="J679" s="358"/>
      <c r="K679" s="359"/>
      <c r="L679" s="325"/>
    </row>
    <row r="680" spans="1:12" s="326" customFormat="1" ht="15">
      <c r="A680" s="408"/>
      <c r="B680" s="451"/>
      <c r="C680" s="402"/>
      <c r="D680" s="454"/>
      <c r="E680" s="323" t="s">
        <v>18</v>
      </c>
      <c r="F680" s="231">
        <v>134590.97999999998</v>
      </c>
      <c r="G680" s="356"/>
      <c r="H680" s="357"/>
      <c r="I680" s="358"/>
      <c r="J680" s="358"/>
      <c r="K680" s="359"/>
      <c r="L680" s="325"/>
    </row>
    <row r="681" spans="1:12" s="326" customFormat="1" ht="15">
      <c r="A681" s="406" t="s">
        <v>822</v>
      </c>
      <c r="B681" s="449" t="s">
        <v>508</v>
      </c>
      <c r="C681" s="400"/>
      <c r="D681" s="452"/>
      <c r="E681" s="81" t="s">
        <v>34</v>
      </c>
      <c r="F681" s="165">
        <f>SUM(F682:F683)</f>
        <v>2973375.8</v>
      </c>
      <c r="G681" s="356"/>
      <c r="H681" s="357"/>
      <c r="I681" s="358"/>
      <c r="J681" s="358"/>
      <c r="K681" s="359"/>
      <c r="L681" s="325"/>
    </row>
    <row r="682" spans="1:12" s="326" customFormat="1" ht="15">
      <c r="A682" s="407"/>
      <c r="B682" s="450"/>
      <c r="C682" s="401"/>
      <c r="D682" s="453"/>
      <c r="E682" s="323" t="s">
        <v>75</v>
      </c>
      <c r="F682" s="231">
        <v>2824707.01</v>
      </c>
      <c r="G682" s="356"/>
      <c r="H682" s="357"/>
      <c r="I682" s="358"/>
      <c r="J682" s="358"/>
      <c r="K682" s="359"/>
      <c r="L682" s="325"/>
    </row>
    <row r="683" spans="1:12" s="326" customFormat="1" ht="15">
      <c r="A683" s="408"/>
      <c r="B683" s="451"/>
      <c r="C683" s="402"/>
      <c r="D683" s="454"/>
      <c r="E683" s="323" t="s">
        <v>18</v>
      </c>
      <c r="F683" s="231">
        <v>148668.79000000004</v>
      </c>
      <c r="G683" s="356"/>
      <c r="H683" s="357"/>
      <c r="I683" s="358"/>
      <c r="J683" s="358"/>
      <c r="K683" s="359"/>
      <c r="L683" s="325"/>
    </row>
    <row r="684" spans="1:12" s="326" customFormat="1" ht="15">
      <c r="A684" s="406" t="s">
        <v>823</v>
      </c>
      <c r="B684" s="449" t="s">
        <v>509</v>
      </c>
      <c r="C684" s="400"/>
      <c r="D684" s="452"/>
      <c r="E684" s="81" t="s">
        <v>34</v>
      </c>
      <c r="F684" s="165">
        <f>SUM(F685:F686)</f>
        <v>4417056.24</v>
      </c>
      <c r="G684" s="356"/>
      <c r="H684" s="357"/>
      <c r="I684" s="358"/>
      <c r="J684" s="358"/>
      <c r="K684" s="359"/>
      <c r="L684" s="325"/>
    </row>
    <row r="685" spans="1:12" s="326" customFormat="1" ht="15">
      <c r="A685" s="407"/>
      <c r="B685" s="450"/>
      <c r="C685" s="401"/>
      <c r="D685" s="453"/>
      <c r="E685" s="323" t="s">
        <v>75</v>
      </c>
      <c r="F685" s="231">
        <v>4196203.42</v>
      </c>
      <c r="G685" s="356"/>
      <c r="H685" s="357"/>
      <c r="I685" s="358"/>
      <c r="J685" s="358"/>
      <c r="K685" s="359"/>
      <c r="L685" s="325"/>
    </row>
    <row r="686" spans="1:12" s="326" customFormat="1" ht="15">
      <c r="A686" s="408"/>
      <c r="B686" s="451"/>
      <c r="C686" s="402"/>
      <c r="D686" s="454"/>
      <c r="E686" s="323" t="s">
        <v>18</v>
      </c>
      <c r="F686" s="231">
        <v>220852.8200000003</v>
      </c>
      <c r="G686" s="356"/>
      <c r="H686" s="357"/>
      <c r="I686" s="358"/>
      <c r="J686" s="358"/>
      <c r="K686" s="359"/>
      <c r="L686" s="325"/>
    </row>
    <row r="687" spans="1:12" s="326" customFormat="1" ht="15">
      <c r="A687" s="406" t="s">
        <v>824</v>
      </c>
      <c r="B687" s="449" t="s">
        <v>510</v>
      </c>
      <c r="C687" s="400"/>
      <c r="D687" s="452"/>
      <c r="E687" s="81" t="s">
        <v>34</v>
      </c>
      <c r="F687" s="165">
        <f>SUM(F688:F689)</f>
        <v>3032700.3</v>
      </c>
      <c r="G687" s="356"/>
      <c r="H687" s="357"/>
      <c r="I687" s="358"/>
      <c r="J687" s="358"/>
      <c r="K687" s="359"/>
      <c r="L687" s="325"/>
    </row>
    <row r="688" spans="1:12" s="326" customFormat="1" ht="15">
      <c r="A688" s="407"/>
      <c r="B688" s="450"/>
      <c r="C688" s="401"/>
      <c r="D688" s="453"/>
      <c r="E688" s="323" t="s">
        <v>75</v>
      </c>
      <c r="F688" s="231">
        <v>2500000</v>
      </c>
      <c r="G688" s="356"/>
      <c r="H688" s="357"/>
      <c r="I688" s="358"/>
      <c r="J688" s="358"/>
      <c r="K688" s="359"/>
      <c r="L688" s="325"/>
    </row>
    <row r="689" spans="1:12" s="326" customFormat="1" ht="15">
      <c r="A689" s="408"/>
      <c r="B689" s="451"/>
      <c r="C689" s="402"/>
      <c r="D689" s="454"/>
      <c r="E689" s="323" t="s">
        <v>18</v>
      </c>
      <c r="F689" s="231">
        <v>532700.2999999998</v>
      </c>
      <c r="G689" s="356"/>
      <c r="H689" s="357"/>
      <c r="I689" s="358"/>
      <c r="J689" s="358"/>
      <c r="K689" s="359"/>
      <c r="L689" s="325"/>
    </row>
    <row r="690" spans="1:12" s="326" customFormat="1" ht="15">
      <c r="A690" s="406" t="s">
        <v>825</v>
      </c>
      <c r="B690" s="449" t="s">
        <v>511</v>
      </c>
      <c r="C690" s="297"/>
      <c r="D690" s="292"/>
      <c r="E690" s="81" t="s">
        <v>34</v>
      </c>
      <c r="F690" s="165">
        <f>SUM(F691:F692)</f>
        <v>3751489.04</v>
      </c>
      <c r="G690" s="356"/>
      <c r="H690" s="357"/>
      <c r="I690" s="358"/>
      <c r="J690" s="358"/>
      <c r="K690" s="359"/>
      <c r="L690" s="325"/>
    </row>
    <row r="691" spans="1:12" s="326" customFormat="1" ht="15">
      <c r="A691" s="407"/>
      <c r="B691" s="450"/>
      <c r="C691" s="297"/>
      <c r="D691" s="292"/>
      <c r="E691" s="323" t="s">
        <v>75</v>
      </c>
      <c r="F691" s="231">
        <v>3200000</v>
      </c>
      <c r="G691" s="356"/>
      <c r="H691" s="357"/>
      <c r="I691" s="358"/>
      <c r="J691" s="358"/>
      <c r="K691" s="359"/>
      <c r="L691" s="325"/>
    </row>
    <row r="692" spans="1:12" s="326" customFormat="1" ht="15">
      <c r="A692" s="408"/>
      <c r="B692" s="451"/>
      <c r="C692" s="297"/>
      <c r="D692" s="292"/>
      <c r="E692" s="323" t="s">
        <v>18</v>
      </c>
      <c r="F692" s="231">
        <v>551489.04</v>
      </c>
      <c r="G692" s="356"/>
      <c r="H692" s="357"/>
      <c r="I692" s="358"/>
      <c r="J692" s="358"/>
      <c r="K692" s="359"/>
      <c r="L692" s="325"/>
    </row>
    <row r="693" spans="1:12" s="326" customFormat="1" ht="15">
      <c r="A693" s="406" t="s">
        <v>826</v>
      </c>
      <c r="B693" s="449" t="s">
        <v>512</v>
      </c>
      <c r="C693" s="400"/>
      <c r="D693" s="452"/>
      <c r="E693" s="81" t="s">
        <v>34</v>
      </c>
      <c r="F693" s="165">
        <f>SUM(F694:F695)</f>
        <v>3002731.84</v>
      </c>
      <c r="G693" s="356"/>
      <c r="H693" s="357"/>
      <c r="I693" s="358"/>
      <c r="J693" s="358"/>
      <c r="K693" s="359"/>
      <c r="L693" s="325"/>
    </row>
    <row r="694" spans="1:12" s="326" customFormat="1" ht="15">
      <c r="A694" s="407"/>
      <c r="B694" s="450"/>
      <c r="C694" s="401"/>
      <c r="D694" s="453"/>
      <c r="E694" s="323" t="s">
        <v>75</v>
      </c>
      <c r="F694" s="237">
        <v>2500000</v>
      </c>
      <c r="G694" s="356"/>
      <c r="H694" s="357"/>
      <c r="I694" s="358"/>
      <c r="J694" s="358"/>
      <c r="K694" s="359"/>
      <c r="L694" s="325"/>
    </row>
    <row r="695" spans="1:12" s="326" customFormat="1" ht="15">
      <c r="A695" s="408"/>
      <c r="B695" s="451"/>
      <c r="C695" s="402"/>
      <c r="D695" s="454"/>
      <c r="E695" s="323" t="s">
        <v>18</v>
      </c>
      <c r="F695" s="237">
        <v>502731.83999999985</v>
      </c>
      <c r="G695" s="356"/>
      <c r="H695" s="357"/>
      <c r="I695" s="358"/>
      <c r="J695" s="358"/>
      <c r="K695" s="359"/>
      <c r="L695" s="325"/>
    </row>
    <row r="696" spans="1:12" s="326" customFormat="1" ht="15">
      <c r="A696" s="406" t="s">
        <v>827</v>
      </c>
      <c r="B696" s="449" t="s">
        <v>513</v>
      </c>
      <c r="C696" s="400"/>
      <c r="D696" s="452"/>
      <c r="E696" s="81" t="s">
        <v>34</v>
      </c>
      <c r="F696" s="165">
        <f>SUM(F697:F698)</f>
        <v>3001502.3</v>
      </c>
      <c r="G696" s="356"/>
      <c r="H696" s="357"/>
      <c r="I696" s="358"/>
      <c r="J696" s="358"/>
      <c r="K696" s="359"/>
      <c r="L696" s="325"/>
    </row>
    <row r="697" spans="1:12" s="326" customFormat="1" ht="15">
      <c r="A697" s="407"/>
      <c r="B697" s="450"/>
      <c r="C697" s="401"/>
      <c r="D697" s="453"/>
      <c r="E697" s="323" t="s">
        <v>75</v>
      </c>
      <c r="F697" s="231">
        <v>2500000</v>
      </c>
      <c r="G697" s="356"/>
      <c r="H697" s="357"/>
      <c r="I697" s="358"/>
      <c r="J697" s="358"/>
      <c r="K697" s="359"/>
      <c r="L697" s="325"/>
    </row>
    <row r="698" spans="1:12" s="326" customFormat="1" ht="15">
      <c r="A698" s="408"/>
      <c r="B698" s="451"/>
      <c r="C698" s="402"/>
      <c r="D698" s="454"/>
      <c r="E698" s="323" t="s">
        <v>18</v>
      </c>
      <c r="F698" s="231">
        <v>501502.2999999998</v>
      </c>
      <c r="G698" s="356"/>
      <c r="H698" s="357"/>
      <c r="I698" s="358"/>
      <c r="J698" s="358"/>
      <c r="K698" s="359"/>
      <c r="L698" s="325"/>
    </row>
    <row r="699" spans="1:12" s="326" customFormat="1" ht="15">
      <c r="A699" s="406" t="s">
        <v>828</v>
      </c>
      <c r="B699" s="449" t="s">
        <v>514</v>
      </c>
      <c r="C699" s="400"/>
      <c r="D699" s="452"/>
      <c r="E699" s="81" t="s">
        <v>34</v>
      </c>
      <c r="F699" s="165">
        <f>SUM(F700:F701)</f>
        <v>4331532.2</v>
      </c>
      <c r="G699" s="356"/>
      <c r="H699" s="357"/>
      <c r="I699" s="358"/>
      <c r="J699" s="358"/>
      <c r="K699" s="359"/>
      <c r="L699" s="325"/>
    </row>
    <row r="700" spans="1:12" s="326" customFormat="1" ht="15">
      <c r="A700" s="407"/>
      <c r="B700" s="450"/>
      <c r="C700" s="401"/>
      <c r="D700" s="453"/>
      <c r="E700" s="323" t="s">
        <v>75</v>
      </c>
      <c r="F700" s="231">
        <v>4114955.59</v>
      </c>
      <c r="G700" s="356"/>
      <c r="H700" s="357"/>
      <c r="I700" s="358"/>
      <c r="J700" s="358"/>
      <c r="K700" s="359"/>
      <c r="L700" s="325"/>
    </row>
    <row r="701" spans="1:12" s="326" customFormat="1" ht="15">
      <c r="A701" s="408"/>
      <c r="B701" s="451"/>
      <c r="C701" s="402"/>
      <c r="D701" s="454"/>
      <c r="E701" s="323" t="s">
        <v>18</v>
      </c>
      <c r="F701" s="231">
        <v>216576.61000000034</v>
      </c>
      <c r="G701" s="356"/>
      <c r="H701" s="357"/>
      <c r="I701" s="358"/>
      <c r="J701" s="358"/>
      <c r="K701" s="359"/>
      <c r="L701" s="325"/>
    </row>
    <row r="702" spans="1:12" s="326" customFormat="1" ht="15">
      <c r="A702" s="406" t="s">
        <v>829</v>
      </c>
      <c r="B702" s="449" t="s">
        <v>515</v>
      </c>
      <c r="C702" s="400"/>
      <c r="D702" s="452"/>
      <c r="E702" s="81" t="s">
        <v>34</v>
      </c>
      <c r="F702" s="165">
        <f>SUM(F703:F704)</f>
        <v>3659135.16</v>
      </c>
      <c r="G702" s="356"/>
      <c r="H702" s="357"/>
      <c r="I702" s="358"/>
      <c r="J702" s="358"/>
      <c r="K702" s="359"/>
      <c r="L702" s="325"/>
    </row>
    <row r="703" spans="1:12" s="326" customFormat="1" ht="15">
      <c r="A703" s="407"/>
      <c r="B703" s="450"/>
      <c r="C703" s="401"/>
      <c r="D703" s="453"/>
      <c r="E703" s="323" t="s">
        <v>75</v>
      </c>
      <c r="F703" s="231">
        <v>3476178.4</v>
      </c>
      <c r="G703" s="356"/>
      <c r="H703" s="357"/>
      <c r="I703" s="358"/>
      <c r="J703" s="358"/>
      <c r="K703" s="359"/>
      <c r="L703" s="325"/>
    </row>
    <row r="704" spans="1:12" s="326" customFormat="1" ht="15">
      <c r="A704" s="408"/>
      <c r="B704" s="451"/>
      <c r="C704" s="402"/>
      <c r="D704" s="454"/>
      <c r="E704" s="323" t="s">
        <v>18</v>
      </c>
      <c r="F704" s="231">
        <v>182956.76000000024</v>
      </c>
      <c r="G704" s="356"/>
      <c r="H704" s="357"/>
      <c r="I704" s="358"/>
      <c r="J704" s="358"/>
      <c r="K704" s="359"/>
      <c r="L704" s="325"/>
    </row>
    <row r="705" spans="1:12" s="326" customFormat="1" ht="15">
      <c r="A705" s="406" t="s">
        <v>830</v>
      </c>
      <c r="B705" s="449" t="s">
        <v>516</v>
      </c>
      <c r="C705" s="400"/>
      <c r="D705" s="452"/>
      <c r="E705" s="81" t="s">
        <v>34</v>
      </c>
      <c r="F705" s="165">
        <f>SUM(F706:F707)</f>
        <v>4562313.06</v>
      </c>
      <c r="G705" s="356"/>
      <c r="H705" s="357"/>
      <c r="I705" s="358"/>
      <c r="J705" s="358"/>
      <c r="K705" s="359"/>
      <c r="L705" s="325"/>
    </row>
    <row r="706" spans="1:12" s="326" customFormat="1" ht="15">
      <c r="A706" s="407"/>
      <c r="B706" s="450"/>
      <c r="C706" s="401"/>
      <c r="D706" s="453"/>
      <c r="E706" s="323" t="s">
        <v>75</v>
      </c>
      <c r="F706" s="231">
        <v>4334197.4</v>
      </c>
      <c r="G706" s="356"/>
      <c r="H706" s="357"/>
      <c r="I706" s="358"/>
      <c r="J706" s="358"/>
      <c r="K706" s="359"/>
      <c r="L706" s="325"/>
    </row>
    <row r="707" spans="1:12" s="326" customFormat="1" ht="15">
      <c r="A707" s="408"/>
      <c r="B707" s="451"/>
      <c r="C707" s="402"/>
      <c r="D707" s="454"/>
      <c r="E707" s="323" t="s">
        <v>18</v>
      </c>
      <c r="F707" s="231">
        <v>228115.65999999922</v>
      </c>
      <c r="G707" s="356"/>
      <c r="H707" s="357"/>
      <c r="I707" s="358"/>
      <c r="J707" s="358"/>
      <c r="K707" s="359"/>
      <c r="L707" s="325"/>
    </row>
    <row r="708" spans="1:12" s="326" customFormat="1" ht="15">
      <c r="A708" s="406" t="s">
        <v>831</v>
      </c>
      <c r="B708" s="449" t="s">
        <v>517</v>
      </c>
      <c r="C708" s="400"/>
      <c r="D708" s="452"/>
      <c r="E708" s="81" t="s">
        <v>34</v>
      </c>
      <c r="F708" s="165">
        <f>SUM(F709:F710)</f>
        <v>10268067.36</v>
      </c>
      <c r="G708" s="356"/>
      <c r="H708" s="357"/>
      <c r="I708" s="358"/>
      <c r="J708" s="358"/>
      <c r="K708" s="359"/>
      <c r="L708" s="325"/>
    </row>
    <row r="709" spans="1:12" s="326" customFormat="1" ht="15">
      <c r="A709" s="407"/>
      <c r="B709" s="450"/>
      <c r="C709" s="401"/>
      <c r="D709" s="453"/>
      <c r="E709" s="323" t="s">
        <v>75</v>
      </c>
      <c r="F709" s="231">
        <v>9754663.99</v>
      </c>
      <c r="G709" s="356"/>
      <c r="H709" s="357"/>
      <c r="I709" s="358"/>
      <c r="J709" s="358"/>
      <c r="K709" s="359"/>
      <c r="L709" s="325"/>
    </row>
    <row r="710" spans="1:12" s="326" customFormat="1" ht="15">
      <c r="A710" s="408"/>
      <c r="B710" s="451"/>
      <c r="C710" s="402"/>
      <c r="D710" s="454"/>
      <c r="E710" s="323" t="s">
        <v>18</v>
      </c>
      <c r="F710" s="231">
        <v>513403.3699999992</v>
      </c>
      <c r="G710" s="356"/>
      <c r="H710" s="357"/>
      <c r="I710" s="358"/>
      <c r="J710" s="358"/>
      <c r="K710" s="359"/>
      <c r="L710" s="325"/>
    </row>
    <row r="711" spans="1:12" s="326" customFormat="1" ht="15">
      <c r="A711" s="406" t="s">
        <v>832</v>
      </c>
      <c r="B711" s="449" t="s">
        <v>518</v>
      </c>
      <c r="C711" s="400"/>
      <c r="D711" s="400"/>
      <c r="E711" s="81" t="s">
        <v>34</v>
      </c>
      <c r="F711" s="165">
        <f>SUM(F712:F713)</f>
        <v>1982620.66</v>
      </c>
      <c r="G711" s="356"/>
      <c r="H711" s="357"/>
      <c r="I711" s="358"/>
      <c r="J711" s="358"/>
      <c r="K711" s="359"/>
      <c r="L711" s="325"/>
    </row>
    <row r="712" spans="1:12" s="326" customFormat="1" ht="15">
      <c r="A712" s="407"/>
      <c r="B712" s="450"/>
      <c r="C712" s="401"/>
      <c r="D712" s="401"/>
      <c r="E712" s="323" t="s">
        <v>75</v>
      </c>
      <c r="F712" s="231">
        <v>1883489.62</v>
      </c>
      <c r="G712" s="356"/>
      <c r="H712" s="357"/>
      <c r="I712" s="358"/>
      <c r="J712" s="358"/>
      <c r="K712" s="359"/>
      <c r="L712" s="325"/>
    </row>
    <row r="713" spans="1:12" s="326" customFormat="1" ht="15">
      <c r="A713" s="408"/>
      <c r="B713" s="451"/>
      <c r="C713" s="401"/>
      <c r="D713" s="401"/>
      <c r="E713" s="323" t="s">
        <v>18</v>
      </c>
      <c r="F713" s="231">
        <v>99131.0399999998</v>
      </c>
      <c r="G713" s="356"/>
      <c r="H713" s="357"/>
      <c r="I713" s="358"/>
      <c r="J713" s="358"/>
      <c r="K713" s="359"/>
      <c r="L713" s="325"/>
    </row>
    <row r="714" spans="1:12" s="326" customFormat="1" ht="15">
      <c r="A714" s="406" t="s">
        <v>833</v>
      </c>
      <c r="B714" s="449" t="s">
        <v>519</v>
      </c>
      <c r="C714" s="400"/>
      <c r="D714" s="400"/>
      <c r="E714" s="81" t="s">
        <v>34</v>
      </c>
      <c r="F714" s="165">
        <f>SUM(F715:F716)</f>
        <v>2554935.99</v>
      </c>
      <c r="G714" s="356"/>
      <c r="H714" s="357"/>
      <c r="I714" s="358"/>
      <c r="J714" s="358"/>
      <c r="K714" s="359"/>
      <c r="L714" s="325"/>
    </row>
    <row r="715" spans="1:12" s="326" customFormat="1" ht="15">
      <c r="A715" s="407"/>
      <c r="B715" s="450"/>
      <c r="C715" s="401"/>
      <c r="D715" s="401"/>
      <c r="E715" s="323" t="s">
        <v>75</v>
      </c>
      <c r="F715" s="231">
        <v>2427189.19</v>
      </c>
      <c r="G715" s="356"/>
      <c r="H715" s="357"/>
      <c r="I715" s="358"/>
      <c r="J715" s="358"/>
      <c r="K715" s="359"/>
      <c r="L715" s="325"/>
    </row>
    <row r="716" spans="1:12" s="326" customFormat="1" ht="15">
      <c r="A716" s="408"/>
      <c r="B716" s="451"/>
      <c r="C716" s="401"/>
      <c r="D716" s="401"/>
      <c r="E716" s="323" t="s">
        <v>18</v>
      </c>
      <c r="F716" s="231">
        <v>127746.80000000028</v>
      </c>
      <c r="G716" s="356"/>
      <c r="H716" s="357"/>
      <c r="I716" s="358"/>
      <c r="J716" s="358"/>
      <c r="K716" s="359"/>
      <c r="L716" s="325"/>
    </row>
    <row r="717" spans="1:12" s="326" customFormat="1" ht="15">
      <c r="A717" s="406" t="s">
        <v>834</v>
      </c>
      <c r="B717" s="449" t="s">
        <v>520</v>
      </c>
      <c r="C717" s="400"/>
      <c r="D717" s="452"/>
      <c r="E717" s="81" t="s">
        <v>34</v>
      </c>
      <c r="F717" s="165">
        <f>SUM(F718:F719)</f>
        <v>2554935.99</v>
      </c>
      <c r="G717" s="356"/>
      <c r="H717" s="357"/>
      <c r="I717" s="358"/>
      <c r="J717" s="358"/>
      <c r="K717" s="359"/>
      <c r="L717" s="325"/>
    </row>
    <row r="718" spans="1:12" s="326" customFormat="1" ht="15">
      <c r="A718" s="407"/>
      <c r="B718" s="450"/>
      <c r="C718" s="401"/>
      <c r="D718" s="453"/>
      <c r="E718" s="323" t="s">
        <v>75</v>
      </c>
      <c r="F718" s="237">
        <v>2427189.19</v>
      </c>
      <c r="G718" s="356"/>
      <c r="H718" s="357"/>
      <c r="I718" s="358"/>
      <c r="J718" s="358"/>
      <c r="K718" s="359"/>
      <c r="L718" s="325"/>
    </row>
    <row r="719" spans="1:12" s="326" customFormat="1" ht="15">
      <c r="A719" s="408"/>
      <c r="B719" s="451"/>
      <c r="C719" s="402"/>
      <c r="D719" s="454"/>
      <c r="E719" s="323" t="s">
        <v>18</v>
      </c>
      <c r="F719" s="237">
        <v>127746.80000000028</v>
      </c>
      <c r="G719" s="356"/>
      <c r="H719" s="357"/>
      <c r="I719" s="358"/>
      <c r="J719" s="358"/>
      <c r="K719" s="359"/>
      <c r="L719" s="325"/>
    </row>
    <row r="720" spans="1:12" s="326" customFormat="1" ht="15">
      <c r="A720" s="406" t="s">
        <v>835</v>
      </c>
      <c r="B720" s="449" t="s">
        <v>521</v>
      </c>
      <c r="C720" s="400"/>
      <c r="D720" s="400"/>
      <c r="E720" s="81" t="s">
        <v>34</v>
      </c>
      <c r="F720" s="165">
        <f>SUM(F721:F722)</f>
        <v>5263157.9</v>
      </c>
      <c r="G720" s="356"/>
      <c r="H720" s="357"/>
      <c r="I720" s="358"/>
      <c r="J720" s="358"/>
      <c r="K720" s="359"/>
      <c r="L720" s="325"/>
    </row>
    <row r="721" spans="1:12" s="326" customFormat="1" ht="15">
      <c r="A721" s="407"/>
      <c r="B721" s="450"/>
      <c r="C721" s="401"/>
      <c r="D721" s="401"/>
      <c r="E721" s="323" t="s">
        <v>75</v>
      </c>
      <c r="F721" s="231">
        <v>5000000</v>
      </c>
      <c r="G721" s="356"/>
      <c r="H721" s="357"/>
      <c r="I721" s="358"/>
      <c r="J721" s="358"/>
      <c r="K721" s="359"/>
      <c r="L721" s="325"/>
    </row>
    <row r="722" spans="1:12" s="326" customFormat="1" ht="15">
      <c r="A722" s="408"/>
      <c r="B722" s="451"/>
      <c r="C722" s="401"/>
      <c r="D722" s="401"/>
      <c r="E722" s="323" t="s">
        <v>18</v>
      </c>
      <c r="F722" s="231">
        <v>263157.9000000004</v>
      </c>
      <c r="G722" s="356"/>
      <c r="H722" s="357"/>
      <c r="I722" s="358"/>
      <c r="J722" s="358"/>
      <c r="K722" s="359"/>
      <c r="L722" s="325"/>
    </row>
    <row r="723" spans="1:12" s="326" customFormat="1" ht="15">
      <c r="A723" s="406" t="s">
        <v>836</v>
      </c>
      <c r="B723" s="455" t="s">
        <v>522</v>
      </c>
      <c r="C723" s="458"/>
      <c r="D723" s="461"/>
      <c r="E723" s="81" t="s">
        <v>34</v>
      </c>
      <c r="F723" s="165">
        <f>SUM(F724:F725)</f>
        <v>875348.78</v>
      </c>
      <c r="G723" s="356"/>
      <c r="H723" s="357"/>
      <c r="I723" s="358"/>
      <c r="J723" s="358"/>
      <c r="K723" s="359"/>
      <c r="L723" s="325"/>
    </row>
    <row r="724" spans="1:12" s="326" customFormat="1" ht="15">
      <c r="A724" s="407"/>
      <c r="B724" s="456"/>
      <c r="C724" s="459"/>
      <c r="D724" s="462"/>
      <c r="E724" s="75" t="s">
        <v>75</v>
      </c>
      <c r="F724" s="231">
        <v>831581.34</v>
      </c>
      <c r="G724" s="356"/>
      <c r="H724" s="357"/>
      <c r="I724" s="358"/>
      <c r="J724" s="358"/>
      <c r="K724" s="359"/>
      <c r="L724" s="325"/>
    </row>
    <row r="725" spans="1:12" s="326" customFormat="1" ht="15">
      <c r="A725" s="408"/>
      <c r="B725" s="457"/>
      <c r="C725" s="460"/>
      <c r="D725" s="463"/>
      <c r="E725" s="75" t="s">
        <v>18</v>
      </c>
      <c r="F725" s="231">
        <v>43767.44000000006</v>
      </c>
      <c r="G725" s="356"/>
      <c r="H725" s="357"/>
      <c r="I725" s="358"/>
      <c r="J725" s="358"/>
      <c r="K725" s="359"/>
      <c r="L725" s="325"/>
    </row>
    <row r="726" spans="1:12" s="326" customFormat="1" ht="15">
      <c r="A726" s="406" t="s">
        <v>837</v>
      </c>
      <c r="B726" s="449" t="s">
        <v>523</v>
      </c>
      <c r="C726" s="400"/>
      <c r="D726" s="452"/>
      <c r="E726" s="81" t="s">
        <v>34</v>
      </c>
      <c r="F726" s="165">
        <f>SUM(F727:F728)</f>
        <v>5960596.54</v>
      </c>
      <c r="G726" s="356"/>
      <c r="H726" s="357"/>
      <c r="I726" s="358"/>
      <c r="J726" s="358"/>
      <c r="K726" s="359"/>
      <c r="L726" s="325"/>
    </row>
    <row r="727" spans="1:12" s="326" customFormat="1" ht="15">
      <c r="A727" s="407"/>
      <c r="B727" s="450"/>
      <c r="C727" s="401"/>
      <c r="D727" s="453"/>
      <c r="E727" s="323" t="s">
        <v>75</v>
      </c>
      <c r="F727" s="231">
        <v>5662566.71</v>
      </c>
      <c r="G727" s="356"/>
      <c r="H727" s="357"/>
      <c r="I727" s="358"/>
      <c r="J727" s="358"/>
      <c r="K727" s="359"/>
      <c r="L727" s="325"/>
    </row>
    <row r="728" spans="1:12" s="326" customFormat="1" ht="15">
      <c r="A728" s="408"/>
      <c r="B728" s="451"/>
      <c r="C728" s="402"/>
      <c r="D728" s="454"/>
      <c r="E728" s="323" t="s">
        <v>18</v>
      </c>
      <c r="F728" s="231">
        <v>298029.8300000001</v>
      </c>
      <c r="G728" s="356"/>
      <c r="H728" s="357"/>
      <c r="I728" s="358"/>
      <c r="J728" s="358"/>
      <c r="K728" s="359"/>
      <c r="L728" s="325"/>
    </row>
    <row r="729" spans="1:12" s="326" customFormat="1" ht="15">
      <c r="A729" s="406" t="s">
        <v>838</v>
      </c>
      <c r="B729" s="449" t="s">
        <v>524</v>
      </c>
      <c r="C729" s="400"/>
      <c r="D729" s="452"/>
      <c r="E729" s="81" t="s">
        <v>34</v>
      </c>
      <c r="F729" s="165">
        <f>SUM(F730:F731)</f>
        <v>265520.06</v>
      </c>
      <c r="G729" s="356"/>
      <c r="H729" s="357"/>
      <c r="I729" s="358"/>
      <c r="J729" s="358"/>
      <c r="K729" s="359"/>
      <c r="L729" s="325"/>
    </row>
    <row r="730" spans="1:12" s="326" customFormat="1" ht="15">
      <c r="A730" s="407"/>
      <c r="B730" s="450"/>
      <c r="C730" s="401"/>
      <c r="D730" s="453"/>
      <c r="E730" s="323" t="s">
        <v>75</v>
      </c>
      <c r="F730" s="231">
        <v>252244</v>
      </c>
      <c r="G730" s="356"/>
      <c r="H730" s="357"/>
      <c r="I730" s="358"/>
      <c r="J730" s="358"/>
      <c r="K730" s="359"/>
      <c r="L730" s="325"/>
    </row>
    <row r="731" spans="1:12" s="326" customFormat="1" ht="15">
      <c r="A731" s="408"/>
      <c r="B731" s="451"/>
      <c r="C731" s="402"/>
      <c r="D731" s="454"/>
      <c r="E731" s="323" t="s">
        <v>18</v>
      </c>
      <c r="F731" s="231">
        <v>13276.059999999998</v>
      </c>
      <c r="G731" s="356"/>
      <c r="H731" s="357"/>
      <c r="I731" s="358"/>
      <c r="J731" s="358"/>
      <c r="K731" s="359"/>
      <c r="L731" s="325"/>
    </row>
    <row r="732" spans="1:12" s="326" customFormat="1" ht="15">
      <c r="A732" s="406" t="s">
        <v>839</v>
      </c>
      <c r="B732" s="449" t="s">
        <v>525</v>
      </c>
      <c r="C732" s="400"/>
      <c r="D732" s="452"/>
      <c r="E732" s="81" t="s">
        <v>34</v>
      </c>
      <c r="F732" s="165">
        <f>SUM(F733:F734)</f>
        <v>2136969.38</v>
      </c>
      <c r="G732" s="356"/>
      <c r="H732" s="357"/>
      <c r="I732" s="358"/>
      <c r="J732" s="358"/>
      <c r="K732" s="359"/>
      <c r="L732" s="325"/>
    </row>
    <row r="733" spans="1:12" s="326" customFormat="1" ht="15">
      <c r="A733" s="407"/>
      <c r="B733" s="450"/>
      <c r="C733" s="401"/>
      <c r="D733" s="453"/>
      <c r="E733" s="323" t="s">
        <v>75</v>
      </c>
      <c r="F733" s="231">
        <v>2007190.82</v>
      </c>
      <c r="G733" s="356"/>
      <c r="H733" s="357"/>
      <c r="I733" s="358"/>
      <c r="J733" s="358"/>
      <c r="K733" s="359"/>
      <c r="L733" s="325"/>
    </row>
    <row r="734" spans="1:12" s="326" customFormat="1" ht="15">
      <c r="A734" s="408"/>
      <c r="B734" s="451"/>
      <c r="C734" s="402"/>
      <c r="D734" s="454"/>
      <c r="E734" s="323" t="s">
        <v>18</v>
      </c>
      <c r="F734" s="231">
        <v>129778.55999999982</v>
      </c>
      <c r="G734" s="356"/>
      <c r="H734" s="357"/>
      <c r="I734" s="358"/>
      <c r="J734" s="358"/>
      <c r="K734" s="359"/>
      <c r="L734" s="325"/>
    </row>
    <row r="735" spans="1:12" s="326" customFormat="1" ht="15">
      <c r="A735" s="406" t="s">
        <v>840</v>
      </c>
      <c r="B735" s="449" t="s">
        <v>526</v>
      </c>
      <c r="C735" s="400"/>
      <c r="D735" s="452"/>
      <c r="E735" s="81" t="s">
        <v>34</v>
      </c>
      <c r="F735" s="165">
        <f>SUM(F736:F737)</f>
        <v>2455727.5</v>
      </c>
      <c r="G735" s="356"/>
      <c r="H735" s="357"/>
      <c r="I735" s="358"/>
      <c r="J735" s="358"/>
      <c r="K735" s="359"/>
      <c r="L735" s="325"/>
    </row>
    <row r="736" spans="1:12" s="326" customFormat="1" ht="15">
      <c r="A736" s="407"/>
      <c r="B736" s="450"/>
      <c r="C736" s="401"/>
      <c r="D736" s="453"/>
      <c r="E736" s="323" t="s">
        <v>75</v>
      </c>
      <c r="F736" s="231">
        <v>2332941.1</v>
      </c>
      <c r="G736" s="356"/>
      <c r="H736" s="357"/>
      <c r="I736" s="358"/>
      <c r="J736" s="358"/>
      <c r="K736" s="359"/>
      <c r="L736" s="325"/>
    </row>
    <row r="737" spans="1:12" s="326" customFormat="1" ht="15">
      <c r="A737" s="408"/>
      <c r="B737" s="451"/>
      <c r="C737" s="402"/>
      <c r="D737" s="454"/>
      <c r="E737" s="323" t="s">
        <v>18</v>
      </c>
      <c r="F737" s="231">
        <v>122786.3999999999</v>
      </c>
      <c r="G737" s="356"/>
      <c r="H737" s="357"/>
      <c r="I737" s="358"/>
      <c r="J737" s="358"/>
      <c r="K737" s="359"/>
      <c r="L737" s="325"/>
    </row>
    <row r="738" spans="1:12" s="326" customFormat="1" ht="15">
      <c r="A738" s="406" t="s">
        <v>841</v>
      </c>
      <c r="B738" s="449" t="s">
        <v>527</v>
      </c>
      <c r="C738" s="400"/>
      <c r="D738" s="452"/>
      <c r="E738" s="81" t="s">
        <v>34</v>
      </c>
      <c r="F738" s="165">
        <f>SUM(F739:F740)</f>
        <v>1620591.94</v>
      </c>
      <c r="G738" s="356"/>
      <c r="H738" s="357"/>
      <c r="I738" s="358"/>
      <c r="J738" s="358"/>
      <c r="K738" s="359"/>
      <c r="L738" s="325"/>
    </row>
    <row r="739" spans="1:12" s="326" customFormat="1" ht="15">
      <c r="A739" s="407"/>
      <c r="B739" s="450"/>
      <c r="C739" s="401"/>
      <c r="D739" s="453"/>
      <c r="E739" s="323" t="s">
        <v>75</v>
      </c>
      <c r="F739" s="231">
        <v>1535699</v>
      </c>
      <c r="G739" s="356"/>
      <c r="H739" s="357"/>
      <c r="I739" s="358"/>
      <c r="J739" s="358"/>
      <c r="K739" s="359"/>
      <c r="L739" s="325"/>
    </row>
    <row r="740" spans="1:12" s="326" customFormat="1" ht="15">
      <c r="A740" s="408"/>
      <c r="B740" s="451"/>
      <c r="C740" s="402"/>
      <c r="D740" s="454"/>
      <c r="E740" s="323" t="s">
        <v>18</v>
      </c>
      <c r="F740" s="231">
        <v>84892.93999999994</v>
      </c>
      <c r="G740" s="356"/>
      <c r="H740" s="357"/>
      <c r="I740" s="358"/>
      <c r="J740" s="358"/>
      <c r="K740" s="359"/>
      <c r="L740" s="325"/>
    </row>
    <row r="741" spans="1:12" s="326" customFormat="1" ht="15">
      <c r="A741" s="406" t="s">
        <v>842</v>
      </c>
      <c r="B741" s="455" t="s">
        <v>528</v>
      </c>
      <c r="C741" s="458"/>
      <c r="D741" s="461"/>
      <c r="E741" s="81" t="s">
        <v>34</v>
      </c>
      <c r="F741" s="165">
        <f>SUM(F742:F743)</f>
        <v>1472937.36</v>
      </c>
      <c r="G741" s="356"/>
      <c r="H741" s="357"/>
      <c r="I741" s="358"/>
      <c r="J741" s="358"/>
      <c r="K741" s="359"/>
      <c r="L741" s="325"/>
    </row>
    <row r="742" spans="1:12" s="326" customFormat="1" ht="15">
      <c r="A742" s="407"/>
      <c r="B742" s="456"/>
      <c r="C742" s="459"/>
      <c r="D742" s="462"/>
      <c r="E742" s="75" t="s">
        <v>75</v>
      </c>
      <c r="F742" s="231">
        <v>1399290.49</v>
      </c>
      <c r="G742" s="356"/>
      <c r="H742" s="357"/>
      <c r="I742" s="358"/>
      <c r="J742" s="358"/>
      <c r="K742" s="359"/>
      <c r="L742" s="325"/>
    </row>
    <row r="743" spans="1:12" s="326" customFormat="1" ht="15">
      <c r="A743" s="408"/>
      <c r="B743" s="457"/>
      <c r="C743" s="460"/>
      <c r="D743" s="463"/>
      <c r="E743" s="75" t="s">
        <v>18</v>
      </c>
      <c r="F743" s="231">
        <v>73646.87000000011</v>
      </c>
      <c r="G743" s="356"/>
      <c r="H743" s="357"/>
      <c r="I743" s="358"/>
      <c r="J743" s="358"/>
      <c r="K743" s="359"/>
      <c r="L743" s="325"/>
    </row>
    <row r="744" spans="1:12" s="326" customFormat="1" ht="15">
      <c r="A744" s="406" t="s">
        <v>843</v>
      </c>
      <c r="B744" s="455" t="s">
        <v>529</v>
      </c>
      <c r="C744" s="458"/>
      <c r="D744" s="461"/>
      <c r="E744" s="81" t="s">
        <v>34</v>
      </c>
      <c r="F744" s="165">
        <f>SUM(F745:F746)</f>
        <v>4959708.74</v>
      </c>
      <c r="G744" s="356"/>
      <c r="H744" s="357"/>
      <c r="I744" s="358"/>
      <c r="J744" s="358"/>
      <c r="K744" s="359"/>
      <c r="L744" s="325"/>
    </row>
    <row r="745" spans="1:12" s="326" customFormat="1" ht="15">
      <c r="A745" s="407"/>
      <c r="B745" s="456"/>
      <c r="C745" s="459"/>
      <c r="D745" s="462"/>
      <c r="E745" s="75" t="s">
        <v>75</v>
      </c>
      <c r="F745" s="231">
        <v>4711723</v>
      </c>
      <c r="G745" s="356"/>
      <c r="H745" s="357"/>
      <c r="I745" s="358"/>
      <c r="J745" s="358"/>
      <c r="K745" s="359"/>
      <c r="L745" s="325"/>
    </row>
    <row r="746" spans="1:12" s="326" customFormat="1" ht="15">
      <c r="A746" s="408"/>
      <c r="B746" s="457"/>
      <c r="C746" s="460"/>
      <c r="D746" s="463"/>
      <c r="E746" s="75" t="s">
        <v>18</v>
      </c>
      <c r="F746" s="231">
        <v>247985.74000000022</v>
      </c>
      <c r="G746" s="356"/>
      <c r="H746" s="357"/>
      <c r="I746" s="358"/>
      <c r="J746" s="358"/>
      <c r="K746" s="359"/>
      <c r="L746" s="325"/>
    </row>
    <row r="747" spans="1:12" s="326" customFormat="1" ht="15">
      <c r="A747" s="406" t="s">
        <v>844</v>
      </c>
      <c r="B747" s="449" t="s">
        <v>530</v>
      </c>
      <c r="C747" s="400"/>
      <c r="D747" s="452"/>
      <c r="E747" s="81" t="s">
        <v>34</v>
      </c>
      <c r="F747" s="165">
        <f>SUM(F748:F749)</f>
        <v>10996376.34</v>
      </c>
      <c r="G747" s="356"/>
      <c r="H747" s="357"/>
      <c r="I747" s="358"/>
      <c r="J747" s="358"/>
      <c r="K747" s="359"/>
      <c r="L747" s="325"/>
    </row>
    <row r="748" spans="1:12" s="326" customFormat="1" ht="15">
      <c r="A748" s="407"/>
      <c r="B748" s="450"/>
      <c r="C748" s="401"/>
      <c r="D748" s="453"/>
      <c r="E748" s="323" t="s">
        <v>75</v>
      </c>
      <c r="F748" s="231">
        <v>10000000</v>
      </c>
      <c r="G748" s="356"/>
      <c r="H748" s="357"/>
      <c r="I748" s="358"/>
      <c r="J748" s="358"/>
      <c r="K748" s="359"/>
      <c r="L748" s="325"/>
    </row>
    <row r="749" spans="1:12" s="326" customFormat="1" ht="15">
      <c r="A749" s="408"/>
      <c r="B749" s="451"/>
      <c r="C749" s="402"/>
      <c r="D749" s="454"/>
      <c r="E749" s="323" t="s">
        <v>18</v>
      </c>
      <c r="F749" s="231">
        <v>996376.3399999999</v>
      </c>
      <c r="G749" s="356"/>
      <c r="H749" s="357"/>
      <c r="I749" s="358"/>
      <c r="J749" s="358"/>
      <c r="K749" s="359"/>
      <c r="L749" s="325"/>
    </row>
    <row r="750" spans="1:12" s="326" customFormat="1" ht="15">
      <c r="A750" s="406" t="s">
        <v>845</v>
      </c>
      <c r="B750" s="449" t="s">
        <v>531</v>
      </c>
      <c r="C750" s="400"/>
      <c r="D750" s="452"/>
      <c r="E750" s="81" t="s">
        <v>34</v>
      </c>
      <c r="F750" s="165">
        <f>SUM(F751:F752)</f>
        <v>1490929</v>
      </c>
      <c r="G750" s="356"/>
      <c r="H750" s="357"/>
      <c r="I750" s="358"/>
      <c r="J750" s="358"/>
      <c r="K750" s="359"/>
      <c r="L750" s="325"/>
    </row>
    <row r="751" spans="1:12" s="326" customFormat="1" ht="15">
      <c r="A751" s="407"/>
      <c r="B751" s="450"/>
      <c r="C751" s="401"/>
      <c r="D751" s="453"/>
      <c r="E751" s="323" t="s">
        <v>75</v>
      </c>
      <c r="F751" s="231">
        <v>1415929</v>
      </c>
      <c r="G751" s="356"/>
      <c r="H751" s="357"/>
      <c r="I751" s="358"/>
      <c r="J751" s="358"/>
      <c r="K751" s="359"/>
      <c r="L751" s="325"/>
    </row>
    <row r="752" spans="1:12" s="326" customFormat="1" ht="15">
      <c r="A752" s="408"/>
      <c r="B752" s="451"/>
      <c r="C752" s="402"/>
      <c r="D752" s="454"/>
      <c r="E752" s="323" t="s">
        <v>18</v>
      </c>
      <c r="F752" s="231">
        <v>75000</v>
      </c>
      <c r="G752" s="356"/>
      <c r="H752" s="357"/>
      <c r="I752" s="358"/>
      <c r="J752" s="358"/>
      <c r="K752" s="359"/>
      <c r="L752" s="325"/>
    </row>
    <row r="753" spans="1:12" s="326" customFormat="1" ht="15">
      <c r="A753" s="406" t="s">
        <v>846</v>
      </c>
      <c r="B753" s="449" t="s">
        <v>532</v>
      </c>
      <c r="C753" s="400"/>
      <c r="D753" s="452"/>
      <c r="E753" s="81" t="s">
        <v>34</v>
      </c>
      <c r="F753" s="165">
        <f>SUM(F754:F755)</f>
        <v>2491303</v>
      </c>
      <c r="G753" s="356"/>
      <c r="H753" s="357"/>
      <c r="I753" s="358"/>
      <c r="J753" s="358"/>
      <c r="K753" s="359"/>
      <c r="L753" s="325"/>
    </row>
    <row r="754" spans="1:12" s="326" customFormat="1" ht="15">
      <c r="A754" s="407"/>
      <c r="B754" s="450"/>
      <c r="C754" s="401"/>
      <c r="D754" s="453"/>
      <c r="E754" s="323" t="s">
        <v>75</v>
      </c>
      <c r="F754" s="231">
        <v>2364803</v>
      </c>
      <c r="G754" s="356"/>
      <c r="H754" s="357"/>
      <c r="I754" s="358"/>
      <c r="J754" s="358"/>
      <c r="K754" s="359"/>
      <c r="L754" s="325"/>
    </row>
    <row r="755" spans="1:12" s="326" customFormat="1" ht="15">
      <c r="A755" s="408"/>
      <c r="B755" s="451"/>
      <c r="C755" s="402"/>
      <c r="D755" s="454"/>
      <c r="E755" s="323" t="s">
        <v>18</v>
      </c>
      <c r="F755" s="231">
        <v>126500</v>
      </c>
      <c r="G755" s="356"/>
      <c r="H755" s="357"/>
      <c r="I755" s="358"/>
      <c r="J755" s="358"/>
      <c r="K755" s="359"/>
      <c r="L755" s="325"/>
    </row>
    <row r="756" spans="1:12" s="326" customFormat="1" ht="15">
      <c r="A756" s="406" t="s">
        <v>847</v>
      </c>
      <c r="B756" s="449" t="s">
        <v>533</v>
      </c>
      <c r="C756" s="400"/>
      <c r="D756" s="452"/>
      <c r="E756" s="81" t="s">
        <v>34</v>
      </c>
      <c r="F756" s="165">
        <f>SUM(F757:F758)</f>
        <v>6145165.8</v>
      </c>
      <c r="G756" s="356"/>
      <c r="H756" s="357"/>
      <c r="I756" s="358"/>
      <c r="J756" s="358"/>
      <c r="K756" s="359"/>
      <c r="L756" s="325"/>
    </row>
    <row r="757" spans="1:12" s="326" customFormat="1" ht="15">
      <c r="A757" s="407"/>
      <c r="B757" s="450"/>
      <c r="C757" s="401"/>
      <c r="D757" s="453"/>
      <c r="E757" s="323" t="s">
        <v>75</v>
      </c>
      <c r="F757" s="237">
        <v>5837906.8</v>
      </c>
      <c r="G757" s="356"/>
      <c r="H757" s="357"/>
      <c r="I757" s="358"/>
      <c r="J757" s="358"/>
      <c r="K757" s="359"/>
      <c r="L757" s="325"/>
    </row>
    <row r="758" spans="1:12" s="326" customFormat="1" ht="15">
      <c r="A758" s="408"/>
      <c r="B758" s="451"/>
      <c r="C758" s="402"/>
      <c r="D758" s="454"/>
      <c r="E758" s="323" t="s">
        <v>18</v>
      </c>
      <c r="F758" s="237">
        <v>307259</v>
      </c>
      <c r="G758" s="356"/>
      <c r="H758" s="357"/>
      <c r="I758" s="358"/>
      <c r="J758" s="358"/>
      <c r="K758" s="359"/>
      <c r="L758" s="325"/>
    </row>
    <row r="759" spans="1:12" s="326" customFormat="1" ht="15">
      <c r="A759" s="406" t="s">
        <v>848</v>
      </c>
      <c r="B759" s="449" t="s">
        <v>534</v>
      </c>
      <c r="C759" s="400"/>
      <c r="D759" s="452"/>
      <c r="E759" s="81" t="s">
        <v>34</v>
      </c>
      <c r="F759" s="165">
        <f>SUM(F760:F761)</f>
        <v>2000000.88</v>
      </c>
      <c r="G759" s="356"/>
      <c r="H759" s="357"/>
      <c r="I759" s="358"/>
      <c r="J759" s="358"/>
      <c r="K759" s="359"/>
      <c r="L759" s="325"/>
    </row>
    <row r="760" spans="1:12" s="326" customFormat="1" ht="15">
      <c r="A760" s="407"/>
      <c r="B760" s="450"/>
      <c r="C760" s="401"/>
      <c r="D760" s="453"/>
      <c r="E760" s="323" t="s">
        <v>75</v>
      </c>
      <c r="F760" s="231">
        <v>1900000</v>
      </c>
      <c r="G760" s="356"/>
      <c r="H760" s="357"/>
      <c r="I760" s="358"/>
      <c r="J760" s="358"/>
      <c r="K760" s="359"/>
      <c r="L760" s="325"/>
    </row>
    <row r="761" spans="1:12" s="326" customFormat="1" ht="15">
      <c r="A761" s="408"/>
      <c r="B761" s="451"/>
      <c r="C761" s="402"/>
      <c r="D761" s="454"/>
      <c r="E761" s="323" t="s">
        <v>18</v>
      </c>
      <c r="F761" s="231">
        <v>100000.87999999989</v>
      </c>
      <c r="G761" s="356"/>
      <c r="H761" s="357"/>
      <c r="I761" s="358"/>
      <c r="J761" s="358"/>
      <c r="K761" s="359"/>
      <c r="L761" s="325"/>
    </row>
    <row r="762" spans="1:12" s="326" customFormat="1" ht="15">
      <c r="A762" s="406" t="s">
        <v>849</v>
      </c>
      <c r="B762" s="449" t="s">
        <v>535</v>
      </c>
      <c r="C762" s="400"/>
      <c r="D762" s="452"/>
      <c r="E762" s="81" t="s">
        <v>34</v>
      </c>
      <c r="F762" s="165">
        <f>SUM(F763:F764)</f>
        <v>2947368.6</v>
      </c>
      <c r="G762" s="356"/>
      <c r="H762" s="357"/>
      <c r="I762" s="358"/>
      <c r="J762" s="358"/>
      <c r="K762" s="359"/>
      <c r="L762" s="325"/>
    </row>
    <row r="763" spans="1:12" s="326" customFormat="1" ht="15">
      <c r="A763" s="407"/>
      <c r="B763" s="450"/>
      <c r="C763" s="401"/>
      <c r="D763" s="453"/>
      <c r="E763" s="323" t="s">
        <v>75</v>
      </c>
      <c r="F763" s="231">
        <v>2800000</v>
      </c>
      <c r="G763" s="356"/>
      <c r="H763" s="357"/>
      <c r="I763" s="358"/>
      <c r="J763" s="358"/>
      <c r="K763" s="359"/>
      <c r="L763" s="325"/>
    </row>
    <row r="764" spans="1:12" s="326" customFormat="1" ht="15">
      <c r="A764" s="408"/>
      <c r="B764" s="451"/>
      <c r="C764" s="402"/>
      <c r="D764" s="454"/>
      <c r="E764" s="323" t="s">
        <v>18</v>
      </c>
      <c r="F764" s="231">
        <v>147368.6000000001</v>
      </c>
      <c r="G764" s="356"/>
      <c r="H764" s="357"/>
      <c r="I764" s="358"/>
      <c r="J764" s="358"/>
      <c r="K764" s="359"/>
      <c r="L764" s="325"/>
    </row>
    <row r="765" spans="1:12" s="326" customFormat="1" ht="15">
      <c r="A765" s="406" t="s">
        <v>850</v>
      </c>
      <c r="B765" s="449" t="s">
        <v>536</v>
      </c>
      <c r="C765" s="400"/>
      <c r="D765" s="452"/>
      <c r="E765" s="81" t="s">
        <v>34</v>
      </c>
      <c r="F765" s="165">
        <f>SUM(F766:F767)</f>
        <v>2105715.9</v>
      </c>
      <c r="G765" s="356"/>
      <c r="H765" s="357"/>
      <c r="I765" s="358"/>
      <c r="J765" s="358"/>
      <c r="K765" s="359"/>
      <c r="L765" s="325"/>
    </row>
    <row r="766" spans="1:12" s="326" customFormat="1" ht="15">
      <c r="A766" s="407"/>
      <c r="B766" s="450"/>
      <c r="C766" s="401"/>
      <c r="D766" s="453"/>
      <c r="E766" s="323" t="s">
        <v>75</v>
      </c>
      <c r="F766" s="231">
        <v>2000000</v>
      </c>
      <c r="G766" s="356"/>
      <c r="H766" s="357"/>
      <c r="I766" s="358"/>
      <c r="J766" s="358"/>
      <c r="K766" s="359"/>
      <c r="L766" s="325"/>
    </row>
    <row r="767" spans="1:12" s="326" customFormat="1" ht="15">
      <c r="A767" s="408"/>
      <c r="B767" s="451"/>
      <c r="C767" s="402"/>
      <c r="D767" s="454"/>
      <c r="E767" s="323" t="s">
        <v>18</v>
      </c>
      <c r="F767" s="231">
        <v>105715.8999999999</v>
      </c>
      <c r="G767" s="356"/>
      <c r="H767" s="357"/>
      <c r="I767" s="358"/>
      <c r="J767" s="358"/>
      <c r="K767" s="359"/>
      <c r="L767" s="325"/>
    </row>
    <row r="768" spans="1:12" s="326" customFormat="1" ht="15">
      <c r="A768" s="406" t="s">
        <v>851</v>
      </c>
      <c r="B768" s="449" t="s">
        <v>537</v>
      </c>
      <c r="C768" s="400"/>
      <c r="D768" s="452"/>
      <c r="E768" s="81" t="s">
        <v>34</v>
      </c>
      <c r="F768" s="165">
        <f>SUM(F769:F770)</f>
        <v>1578947.37</v>
      </c>
      <c r="G768" s="356"/>
      <c r="H768" s="357"/>
      <c r="I768" s="358"/>
      <c r="J768" s="358"/>
      <c r="K768" s="359"/>
      <c r="L768" s="325"/>
    </row>
    <row r="769" spans="1:12" s="326" customFormat="1" ht="15">
      <c r="A769" s="407"/>
      <c r="B769" s="450"/>
      <c r="C769" s="401"/>
      <c r="D769" s="453"/>
      <c r="E769" s="323" t="s">
        <v>75</v>
      </c>
      <c r="F769" s="231">
        <v>1500000</v>
      </c>
      <c r="G769" s="356"/>
      <c r="H769" s="357"/>
      <c r="I769" s="358"/>
      <c r="J769" s="358"/>
      <c r="K769" s="359"/>
      <c r="L769" s="325"/>
    </row>
    <row r="770" spans="1:12" s="326" customFormat="1" ht="15">
      <c r="A770" s="408"/>
      <c r="B770" s="451"/>
      <c r="C770" s="402"/>
      <c r="D770" s="454"/>
      <c r="E770" s="323" t="s">
        <v>18</v>
      </c>
      <c r="F770" s="231">
        <v>78947.37000000011</v>
      </c>
      <c r="G770" s="356"/>
      <c r="H770" s="357"/>
      <c r="I770" s="358"/>
      <c r="J770" s="358"/>
      <c r="K770" s="359"/>
      <c r="L770" s="325"/>
    </row>
    <row r="771" spans="1:12" s="326" customFormat="1" ht="15">
      <c r="A771" s="406" t="s">
        <v>852</v>
      </c>
      <c r="B771" s="449" t="s">
        <v>538</v>
      </c>
      <c r="C771" s="400"/>
      <c r="D771" s="452"/>
      <c r="E771" s="81" t="s">
        <v>34</v>
      </c>
      <c r="F771" s="165">
        <f>SUM(F772:F773)</f>
        <v>1895000.94</v>
      </c>
      <c r="G771" s="356"/>
      <c r="H771" s="357"/>
      <c r="I771" s="358"/>
      <c r="J771" s="358"/>
      <c r="K771" s="359"/>
      <c r="L771" s="325"/>
    </row>
    <row r="772" spans="1:12" s="326" customFormat="1" ht="15">
      <c r="A772" s="407"/>
      <c r="B772" s="450"/>
      <c r="C772" s="401"/>
      <c r="D772" s="453"/>
      <c r="E772" s="323" t="s">
        <v>75</v>
      </c>
      <c r="F772" s="231">
        <v>1800000</v>
      </c>
      <c r="G772" s="356"/>
      <c r="H772" s="357"/>
      <c r="I772" s="358"/>
      <c r="J772" s="358"/>
      <c r="K772" s="359"/>
      <c r="L772" s="325"/>
    </row>
    <row r="773" spans="1:12" s="326" customFormat="1" ht="15">
      <c r="A773" s="408"/>
      <c r="B773" s="451"/>
      <c r="C773" s="402"/>
      <c r="D773" s="454"/>
      <c r="E773" s="323" t="s">
        <v>18</v>
      </c>
      <c r="F773" s="231">
        <v>95000.93999999994</v>
      </c>
      <c r="G773" s="356"/>
      <c r="H773" s="357"/>
      <c r="I773" s="358"/>
      <c r="J773" s="358"/>
      <c r="K773" s="359"/>
      <c r="L773" s="325"/>
    </row>
    <row r="774" spans="1:12" s="326" customFormat="1" ht="15">
      <c r="A774" s="406" t="s">
        <v>853</v>
      </c>
      <c r="B774" s="449" t="s">
        <v>539</v>
      </c>
      <c r="C774" s="400"/>
      <c r="D774" s="452"/>
      <c r="E774" s="81" t="s">
        <v>34</v>
      </c>
      <c r="F774" s="165">
        <f>SUM(F775:F776)</f>
        <v>4867651.04</v>
      </c>
      <c r="G774" s="356"/>
      <c r="H774" s="357"/>
      <c r="I774" s="358"/>
      <c r="J774" s="358"/>
      <c r="K774" s="359"/>
      <c r="L774" s="325"/>
    </row>
    <row r="775" spans="1:12" s="326" customFormat="1" ht="15">
      <c r="A775" s="407"/>
      <c r="B775" s="450"/>
      <c r="C775" s="401"/>
      <c r="D775" s="453"/>
      <c r="E775" s="323" t="s">
        <v>75</v>
      </c>
      <c r="F775" s="231">
        <v>4567651.04</v>
      </c>
      <c r="G775" s="356"/>
      <c r="H775" s="357"/>
      <c r="I775" s="358"/>
      <c r="J775" s="358"/>
      <c r="K775" s="359"/>
      <c r="L775" s="325"/>
    </row>
    <row r="776" spans="1:12" s="326" customFormat="1" ht="15">
      <c r="A776" s="408"/>
      <c r="B776" s="451"/>
      <c r="C776" s="402"/>
      <c r="D776" s="454"/>
      <c r="E776" s="323" t="s">
        <v>18</v>
      </c>
      <c r="F776" s="231">
        <v>300000</v>
      </c>
      <c r="G776" s="356"/>
      <c r="H776" s="357"/>
      <c r="I776" s="358"/>
      <c r="J776" s="358"/>
      <c r="K776" s="359"/>
      <c r="L776" s="325"/>
    </row>
    <row r="777" spans="1:12" s="326" customFormat="1" ht="15">
      <c r="A777" s="406" t="s">
        <v>854</v>
      </c>
      <c r="B777" s="449" t="s">
        <v>540</v>
      </c>
      <c r="C777" s="400"/>
      <c r="D777" s="452"/>
      <c r="E777" s="81" t="s">
        <v>34</v>
      </c>
      <c r="F777" s="165">
        <f>SUM(F778:F779)</f>
        <v>3675841.6</v>
      </c>
      <c r="G777" s="356"/>
      <c r="H777" s="357"/>
      <c r="I777" s="358"/>
      <c r="J777" s="358"/>
      <c r="K777" s="359"/>
      <c r="L777" s="325"/>
    </row>
    <row r="778" spans="1:12" s="326" customFormat="1" ht="15">
      <c r="A778" s="407"/>
      <c r="B778" s="450"/>
      <c r="C778" s="401"/>
      <c r="D778" s="453"/>
      <c r="E778" s="323" t="s">
        <v>75</v>
      </c>
      <c r="F778" s="231">
        <v>3492049.52</v>
      </c>
      <c r="G778" s="356"/>
      <c r="H778" s="357"/>
      <c r="I778" s="358"/>
      <c r="J778" s="358"/>
      <c r="K778" s="359"/>
      <c r="L778" s="325"/>
    </row>
    <row r="779" spans="1:12" s="326" customFormat="1" ht="15">
      <c r="A779" s="408"/>
      <c r="B779" s="451"/>
      <c r="C779" s="402"/>
      <c r="D779" s="454"/>
      <c r="E779" s="323" t="s">
        <v>18</v>
      </c>
      <c r="F779" s="231">
        <v>183792.08000000007</v>
      </c>
      <c r="G779" s="356"/>
      <c r="H779" s="357"/>
      <c r="I779" s="358"/>
      <c r="J779" s="358"/>
      <c r="K779" s="359"/>
      <c r="L779" s="325"/>
    </row>
    <row r="780" spans="1:12" s="326" customFormat="1" ht="15">
      <c r="A780" s="406" t="s">
        <v>855</v>
      </c>
      <c r="B780" s="449" t="s">
        <v>541</v>
      </c>
      <c r="C780" s="400"/>
      <c r="D780" s="452"/>
      <c r="E780" s="81" t="s">
        <v>34</v>
      </c>
      <c r="F780" s="165">
        <f>SUM(F781:F782)</f>
        <v>10526315.790000001</v>
      </c>
      <c r="G780" s="356"/>
      <c r="H780" s="357"/>
      <c r="I780" s="358"/>
      <c r="J780" s="358"/>
      <c r="K780" s="359"/>
      <c r="L780" s="325"/>
    </row>
    <row r="781" spans="1:12" s="326" customFormat="1" ht="15">
      <c r="A781" s="407"/>
      <c r="B781" s="450"/>
      <c r="C781" s="401"/>
      <c r="D781" s="453"/>
      <c r="E781" s="323" t="s">
        <v>75</v>
      </c>
      <c r="F781" s="231">
        <v>10000000</v>
      </c>
      <c r="G781" s="356"/>
      <c r="H781" s="357"/>
      <c r="I781" s="358"/>
      <c r="J781" s="358"/>
      <c r="K781" s="359"/>
      <c r="L781" s="325"/>
    </row>
    <row r="782" spans="1:12" s="326" customFormat="1" ht="15">
      <c r="A782" s="408"/>
      <c r="B782" s="451"/>
      <c r="C782" s="402"/>
      <c r="D782" s="454"/>
      <c r="E782" s="323" t="s">
        <v>18</v>
      </c>
      <c r="F782" s="231">
        <v>526315.790000001</v>
      </c>
      <c r="G782" s="356"/>
      <c r="H782" s="357"/>
      <c r="I782" s="358"/>
      <c r="J782" s="358"/>
      <c r="K782" s="359"/>
      <c r="L782" s="325"/>
    </row>
    <row r="783" spans="1:12" s="326" customFormat="1" ht="15">
      <c r="A783" s="406" t="s">
        <v>856</v>
      </c>
      <c r="B783" s="449" t="s">
        <v>542</v>
      </c>
      <c r="C783" s="400"/>
      <c r="D783" s="452"/>
      <c r="E783" s="81" t="s">
        <v>34</v>
      </c>
      <c r="F783" s="165">
        <f>SUM(F784:F785)</f>
        <v>1955564.44</v>
      </c>
      <c r="G783" s="356"/>
      <c r="H783" s="357"/>
      <c r="I783" s="358"/>
      <c r="J783" s="358"/>
      <c r="K783" s="359"/>
      <c r="L783" s="325"/>
    </row>
    <row r="784" spans="1:12" s="326" customFormat="1" ht="15">
      <c r="A784" s="407"/>
      <c r="B784" s="450"/>
      <c r="C784" s="401"/>
      <c r="D784" s="453"/>
      <c r="E784" s="323" t="s">
        <v>75</v>
      </c>
      <c r="F784" s="231">
        <v>1857786.21</v>
      </c>
      <c r="G784" s="356"/>
      <c r="H784" s="357"/>
      <c r="I784" s="358"/>
      <c r="J784" s="358"/>
      <c r="K784" s="359"/>
      <c r="L784" s="325"/>
    </row>
    <row r="785" spans="1:12" s="326" customFormat="1" ht="15">
      <c r="A785" s="408"/>
      <c r="B785" s="451"/>
      <c r="C785" s="402"/>
      <c r="D785" s="454"/>
      <c r="E785" s="323" t="s">
        <v>18</v>
      </c>
      <c r="F785" s="231">
        <v>97778.22999999998</v>
      </c>
      <c r="G785" s="356"/>
      <c r="H785" s="357"/>
      <c r="I785" s="358"/>
      <c r="J785" s="358"/>
      <c r="K785" s="359"/>
      <c r="L785" s="325"/>
    </row>
    <row r="786" spans="1:12" s="326" customFormat="1" ht="15">
      <c r="A786" s="406" t="s">
        <v>857</v>
      </c>
      <c r="B786" s="449" t="s">
        <v>543</v>
      </c>
      <c r="C786" s="400"/>
      <c r="D786" s="452"/>
      <c r="E786" s="81" t="s">
        <v>34</v>
      </c>
      <c r="F786" s="165">
        <f>SUM(F787:F788)</f>
        <v>2910291.82</v>
      </c>
      <c r="G786" s="356"/>
      <c r="H786" s="357"/>
      <c r="I786" s="358"/>
      <c r="J786" s="358"/>
      <c r="K786" s="359"/>
      <c r="L786" s="325"/>
    </row>
    <row r="787" spans="1:12" s="326" customFormat="1" ht="15">
      <c r="A787" s="407"/>
      <c r="B787" s="450"/>
      <c r="C787" s="401"/>
      <c r="D787" s="453"/>
      <c r="E787" s="323" t="s">
        <v>75</v>
      </c>
      <c r="F787" s="231">
        <v>2764777.22</v>
      </c>
      <c r="G787" s="356"/>
      <c r="H787" s="357"/>
      <c r="I787" s="358"/>
      <c r="J787" s="358"/>
      <c r="K787" s="359"/>
      <c r="L787" s="325"/>
    </row>
    <row r="788" spans="1:12" s="326" customFormat="1" ht="15">
      <c r="A788" s="408"/>
      <c r="B788" s="451"/>
      <c r="C788" s="402"/>
      <c r="D788" s="454"/>
      <c r="E788" s="323" t="s">
        <v>18</v>
      </c>
      <c r="F788" s="231">
        <v>145514.59999999963</v>
      </c>
      <c r="G788" s="356"/>
      <c r="H788" s="357"/>
      <c r="I788" s="358"/>
      <c r="J788" s="358"/>
      <c r="K788" s="359"/>
      <c r="L788" s="325"/>
    </row>
    <row r="789" spans="1:12" s="326" customFormat="1" ht="15">
      <c r="A789" s="406" t="s">
        <v>858</v>
      </c>
      <c r="B789" s="449" t="s">
        <v>544</v>
      </c>
      <c r="C789" s="400"/>
      <c r="D789" s="452"/>
      <c r="E789" s="81" t="s">
        <v>34</v>
      </c>
      <c r="F789" s="165">
        <f>SUM(F790:F791)</f>
        <v>5757939.8</v>
      </c>
      <c r="G789" s="356"/>
      <c r="H789" s="357"/>
      <c r="I789" s="358"/>
      <c r="J789" s="358"/>
      <c r="K789" s="359"/>
      <c r="L789" s="325"/>
    </row>
    <row r="790" spans="1:12" s="326" customFormat="1" ht="15">
      <c r="A790" s="407"/>
      <c r="B790" s="450"/>
      <c r="C790" s="401"/>
      <c r="D790" s="453"/>
      <c r="E790" s="323" t="s">
        <v>75</v>
      </c>
      <c r="F790" s="237">
        <v>5100000</v>
      </c>
      <c r="G790" s="356"/>
      <c r="H790" s="357"/>
      <c r="I790" s="358"/>
      <c r="J790" s="358"/>
      <c r="K790" s="359"/>
      <c r="L790" s="325"/>
    </row>
    <row r="791" spans="1:12" s="326" customFormat="1" ht="15">
      <c r="A791" s="408"/>
      <c r="B791" s="451"/>
      <c r="C791" s="402"/>
      <c r="D791" s="454"/>
      <c r="E791" s="323" t="s">
        <v>18</v>
      </c>
      <c r="F791" s="237">
        <v>657939.7999999998</v>
      </c>
      <c r="G791" s="356"/>
      <c r="H791" s="357"/>
      <c r="I791" s="358"/>
      <c r="J791" s="358"/>
      <c r="K791" s="359"/>
      <c r="L791" s="325"/>
    </row>
    <row r="792" spans="1:12" s="326" customFormat="1" ht="15">
      <c r="A792" s="406" t="s">
        <v>859</v>
      </c>
      <c r="B792" s="449" t="s">
        <v>545</v>
      </c>
      <c r="C792" s="400"/>
      <c r="D792" s="452"/>
      <c r="E792" s="81" t="s">
        <v>34</v>
      </c>
      <c r="F792" s="165">
        <f>SUM(F793:F794)</f>
        <v>2411484.58</v>
      </c>
      <c r="G792" s="356"/>
      <c r="H792" s="357"/>
      <c r="I792" s="358"/>
      <c r="J792" s="358"/>
      <c r="K792" s="359"/>
      <c r="L792" s="325"/>
    </row>
    <row r="793" spans="1:12" s="326" customFormat="1" ht="15">
      <c r="A793" s="407"/>
      <c r="B793" s="450"/>
      <c r="C793" s="401"/>
      <c r="D793" s="453"/>
      <c r="E793" s="323" t="s">
        <v>75</v>
      </c>
      <c r="F793" s="231">
        <v>2290910.35</v>
      </c>
      <c r="G793" s="356"/>
      <c r="H793" s="357"/>
      <c r="I793" s="358"/>
      <c r="J793" s="358"/>
      <c r="K793" s="359"/>
      <c r="L793" s="325"/>
    </row>
    <row r="794" spans="1:12" s="326" customFormat="1" ht="15">
      <c r="A794" s="408"/>
      <c r="B794" s="451"/>
      <c r="C794" s="402"/>
      <c r="D794" s="454"/>
      <c r="E794" s="323" t="s">
        <v>18</v>
      </c>
      <c r="F794" s="231">
        <v>120574.22999999998</v>
      </c>
      <c r="G794" s="356"/>
      <c r="H794" s="357"/>
      <c r="I794" s="358"/>
      <c r="J794" s="358"/>
      <c r="K794" s="359"/>
      <c r="L794" s="325"/>
    </row>
    <row r="795" spans="1:12" s="326" customFormat="1" ht="15">
      <c r="A795" s="406" t="s">
        <v>860</v>
      </c>
      <c r="B795" s="449" t="s">
        <v>546</v>
      </c>
      <c r="C795" s="400"/>
      <c r="D795" s="452"/>
      <c r="E795" s="81" t="s">
        <v>34</v>
      </c>
      <c r="F795" s="165">
        <f>SUM(F796:F797)</f>
        <v>2411508.18</v>
      </c>
      <c r="G795" s="356"/>
      <c r="H795" s="357"/>
      <c r="I795" s="358"/>
      <c r="J795" s="358"/>
      <c r="K795" s="359"/>
      <c r="L795" s="325"/>
    </row>
    <row r="796" spans="1:12" s="326" customFormat="1" ht="15">
      <c r="A796" s="407"/>
      <c r="B796" s="450"/>
      <c r="C796" s="401"/>
      <c r="D796" s="453"/>
      <c r="E796" s="323" t="s">
        <v>75</v>
      </c>
      <c r="F796" s="231">
        <v>2290932.77</v>
      </c>
      <c r="G796" s="356"/>
      <c r="H796" s="357"/>
      <c r="I796" s="358"/>
      <c r="J796" s="358"/>
      <c r="K796" s="359"/>
      <c r="L796" s="325"/>
    </row>
    <row r="797" spans="1:12" s="326" customFormat="1" ht="15">
      <c r="A797" s="408"/>
      <c r="B797" s="451"/>
      <c r="C797" s="402"/>
      <c r="D797" s="454"/>
      <c r="E797" s="323" t="s">
        <v>18</v>
      </c>
      <c r="F797" s="231">
        <v>120575.41000000015</v>
      </c>
      <c r="G797" s="356"/>
      <c r="H797" s="357"/>
      <c r="I797" s="358"/>
      <c r="J797" s="358"/>
      <c r="K797" s="359"/>
      <c r="L797" s="325"/>
    </row>
    <row r="798" spans="1:12" s="326" customFormat="1" ht="15">
      <c r="A798" s="406" t="s">
        <v>861</v>
      </c>
      <c r="B798" s="449" t="s">
        <v>547</v>
      </c>
      <c r="C798" s="400"/>
      <c r="D798" s="452"/>
      <c r="E798" s="81" t="s">
        <v>34</v>
      </c>
      <c r="F798" s="165">
        <f>SUM(F799:F800)</f>
        <v>3198417.14</v>
      </c>
      <c r="G798" s="356"/>
      <c r="H798" s="357"/>
      <c r="I798" s="358"/>
      <c r="J798" s="358"/>
      <c r="K798" s="359"/>
      <c r="L798" s="325"/>
    </row>
    <row r="799" spans="1:12" s="326" customFormat="1" ht="15">
      <c r="A799" s="407"/>
      <c r="B799" s="450"/>
      <c r="C799" s="401"/>
      <c r="D799" s="453"/>
      <c r="E799" s="323" t="s">
        <v>75</v>
      </c>
      <c r="F799" s="237">
        <v>3038496.28</v>
      </c>
      <c r="G799" s="356"/>
      <c r="H799" s="357"/>
      <c r="I799" s="358"/>
      <c r="J799" s="358"/>
      <c r="K799" s="359"/>
      <c r="L799" s="325"/>
    </row>
    <row r="800" spans="1:12" s="326" customFormat="1" ht="15">
      <c r="A800" s="408"/>
      <c r="B800" s="451"/>
      <c r="C800" s="402"/>
      <c r="D800" s="454"/>
      <c r="E800" s="323" t="s">
        <v>18</v>
      </c>
      <c r="F800" s="237">
        <v>159920.86000000034</v>
      </c>
      <c r="G800" s="356"/>
      <c r="H800" s="357"/>
      <c r="I800" s="358"/>
      <c r="J800" s="358"/>
      <c r="K800" s="359"/>
      <c r="L800" s="325"/>
    </row>
    <row r="801" spans="1:12" s="326" customFormat="1" ht="15">
      <c r="A801" s="406" t="s">
        <v>862</v>
      </c>
      <c r="B801" s="449" t="s">
        <v>548</v>
      </c>
      <c r="C801" s="400"/>
      <c r="D801" s="452"/>
      <c r="E801" s="81" t="s">
        <v>34</v>
      </c>
      <c r="F801" s="165">
        <f>SUM(F802:F803)</f>
        <v>2509713.68</v>
      </c>
      <c r="G801" s="356"/>
      <c r="H801" s="357"/>
      <c r="I801" s="358"/>
      <c r="J801" s="358"/>
      <c r="K801" s="359"/>
      <c r="L801" s="325"/>
    </row>
    <row r="802" spans="1:12" s="326" customFormat="1" ht="15">
      <c r="A802" s="407"/>
      <c r="B802" s="450"/>
      <c r="C802" s="401"/>
      <c r="D802" s="453"/>
      <c r="E802" s="323" t="s">
        <v>75</v>
      </c>
      <c r="F802" s="231">
        <v>2384227.99</v>
      </c>
      <c r="G802" s="356"/>
      <c r="H802" s="357"/>
      <c r="I802" s="358"/>
      <c r="J802" s="358"/>
      <c r="K802" s="359"/>
      <c r="L802" s="325"/>
    </row>
    <row r="803" spans="1:12" s="326" customFormat="1" ht="15">
      <c r="A803" s="408"/>
      <c r="B803" s="451"/>
      <c r="C803" s="402"/>
      <c r="D803" s="454"/>
      <c r="E803" s="323" t="s">
        <v>18</v>
      </c>
      <c r="F803" s="231">
        <v>125485.68999999994</v>
      </c>
      <c r="G803" s="356"/>
      <c r="H803" s="357"/>
      <c r="I803" s="358"/>
      <c r="J803" s="358"/>
      <c r="K803" s="359"/>
      <c r="L803" s="325"/>
    </row>
    <row r="804" spans="1:12" s="326" customFormat="1" ht="15">
      <c r="A804" s="406" t="s">
        <v>863</v>
      </c>
      <c r="B804" s="449" t="s">
        <v>549</v>
      </c>
      <c r="C804" s="400"/>
      <c r="D804" s="452"/>
      <c r="E804" s="81" t="s">
        <v>34</v>
      </c>
      <c r="F804" s="165">
        <f>SUM(F805:F806)</f>
        <v>10500000</v>
      </c>
      <c r="G804" s="356"/>
      <c r="H804" s="357"/>
      <c r="I804" s="358"/>
      <c r="J804" s="358"/>
      <c r="K804" s="359"/>
      <c r="L804" s="325"/>
    </row>
    <row r="805" spans="1:12" s="326" customFormat="1" ht="15">
      <c r="A805" s="407"/>
      <c r="B805" s="450"/>
      <c r="C805" s="401"/>
      <c r="D805" s="453"/>
      <c r="E805" s="323" t="s">
        <v>75</v>
      </c>
      <c r="F805" s="231">
        <v>9974960</v>
      </c>
      <c r="G805" s="356"/>
      <c r="H805" s="357"/>
      <c r="I805" s="358"/>
      <c r="J805" s="358"/>
      <c r="K805" s="359"/>
      <c r="L805" s="325"/>
    </row>
    <row r="806" spans="1:12" s="326" customFormat="1" ht="15">
      <c r="A806" s="408"/>
      <c r="B806" s="451"/>
      <c r="C806" s="402"/>
      <c r="D806" s="454"/>
      <c r="E806" s="323" t="s">
        <v>18</v>
      </c>
      <c r="F806" s="231">
        <v>525040</v>
      </c>
      <c r="G806" s="356"/>
      <c r="H806" s="357"/>
      <c r="I806" s="358"/>
      <c r="J806" s="358"/>
      <c r="K806" s="359"/>
      <c r="L806" s="325"/>
    </row>
    <row r="807" spans="1:12" s="326" customFormat="1" ht="15">
      <c r="A807" s="406" t="s">
        <v>864</v>
      </c>
      <c r="B807" s="449" t="s">
        <v>550</v>
      </c>
      <c r="C807" s="400"/>
      <c r="D807" s="452"/>
      <c r="E807" s="81" t="s">
        <v>34</v>
      </c>
      <c r="F807" s="165">
        <f>SUM(F808:F809)</f>
        <v>2104996.1</v>
      </c>
      <c r="G807" s="356"/>
      <c r="H807" s="357"/>
      <c r="I807" s="358"/>
      <c r="J807" s="358"/>
      <c r="K807" s="359"/>
      <c r="L807" s="325"/>
    </row>
    <row r="808" spans="1:12" s="326" customFormat="1" ht="15">
      <c r="A808" s="407"/>
      <c r="B808" s="450"/>
      <c r="C808" s="401"/>
      <c r="D808" s="453"/>
      <c r="E808" s="323" t="s">
        <v>75</v>
      </c>
      <c r="F808" s="231">
        <v>1999746.29</v>
      </c>
      <c r="G808" s="356"/>
      <c r="H808" s="357"/>
      <c r="I808" s="358"/>
      <c r="J808" s="358"/>
      <c r="K808" s="359"/>
      <c r="L808" s="325"/>
    </row>
    <row r="809" spans="1:12" s="326" customFormat="1" ht="15">
      <c r="A809" s="408"/>
      <c r="B809" s="451"/>
      <c r="C809" s="402"/>
      <c r="D809" s="454"/>
      <c r="E809" s="323" t="s">
        <v>18</v>
      </c>
      <c r="F809" s="231">
        <v>105249.81000000006</v>
      </c>
      <c r="G809" s="356"/>
      <c r="H809" s="357"/>
      <c r="I809" s="358"/>
      <c r="J809" s="358"/>
      <c r="K809" s="359"/>
      <c r="L809" s="325"/>
    </row>
    <row r="810" spans="1:12" s="326" customFormat="1" ht="15">
      <c r="A810" s="406" t="s">
        <v>865</v>
      </c>
      <c r="B810" s="449" t="s">
        <v>551</v>
      </c>
      <c r="C810" s="400"/>
      <c r="D810" s="452"/>
      <c r="E810" s="81" t="s">
        <v>34</v>
      </c>
      <c r="F810" s="165">
        <f>SUM(F811:F812)</f>
        <v>2105000</v>
      </c>
      <c r="G810" s="356"/>
      <c r="H810" s="357"/>
      <c r="I810" s="358"/>
      <c r="J810" s="358"/>
      <c r="K810" s="359"/>
      <c r="L810" s="325"/>
    </row>
    <row r="811" spans="1:12" s="326" customFormat="1" ht="15">
      <c r="A811" s="407"/>
      <c r="B811" s="450"/>
      <c r="C811" s="401"/>
      <c r="D811" s="453"/>
      <c r="E811" s="323" t="s">
        <v>75</v>
      </c>
      <c r="F811" s="231">
        <v>1999750</v>
      </c>
      <c r="G811" s="356"/>
      <c r="H811" s="357"/>
      <c r="I811" s="358"/>
      <c r="J811" s="358"/>
      <c r="K811" s="359"/>
      <c r="L811" s="325"/>
    </row>
    <row r="812" spans="1:12" s="326" customFormat="1" ht="15">
      <c r="A812" s="408"/>
      <c r="B812" s="451"/>
      <c r="C812" s="402"/>
      <c r="D812" s="454"/>
      <c r="E812" s="323" t="s">
        <v>18</v>
      </c>
      <c r="F812" s="231">
        <v>105250</v>
      </c>
      <c r="G812" s="356"/>
      <c r="H812" s="357"/>
      <c r="I812" s="358"/>
      <c r="J812" s="358"/>
      <c r="K812" s="359"/>
      <c r="L812" s="325"/>
    </row>
    <row r="813" spans="1:12" s="326" customFormat="1" ht="15">
      <c r="A813" s="406" t="s">
        <v>866</v>
      </c>
      <c r="B813" s="449" t="s">
        <v>552</v>
      </c>
      <c r="C813" s="400"/>
      <c r="D813" s="452"/>
      <c r="E813" s="81" t="s">
        <v>34</v>
      </c>
      <c r="F813" s="165">
        <f>SUM(F814:F815)</f>
        <v>2099974.02</v>
      </c>
      <c r="G813" s="356"/>
      <c r="H813" s="357"/>
      <c r="I813" s="358"/>
      <c r="J813" s="358"/>
      <c r="K813" s="359"/>
      <c r="L813" s="325"/>
    </row>
    <row r="814" spans="1:12" s="326" customFormat="1" ht="15">
      <c r="A814" s="407"/>
      <c r="B814" s="450"/>
      <c r="C814" s="401"/>
      <c r="D814" s="453"/>
      <c r="E814" s="323" t="s">
        <v>75</v>
      </c>
      <c r="F814" s="231">
        <v>1994975.31</v>
      </c>
      <c r="G814" s="356"/>
      <c r="H814" s="357"/>
      <c r="I814" s="358"/>
      <c r="J814" s="358"/>
      <c r="K814" s="359"/>
      <c r="L814" s="325"/>
    </row>
    <row r="815" spans="1:12" s="326" customFormat="1" ht="15">
      <c r="A815" s="408"/>
      <c r="B815" s="451"/>
      <c r="C815" s="402"/>
      <c r="D815" s="454"/>
      <c r="E815" s="323" t="s">
        <v>18</v>
      </c>
      <c r="F815" s="231">
        <v>104998.70999999996</v>
      </c>
      <c r="G815" s="356"/>
      <c r="H815" s="357"/>
      <c r="I815" s="358"/>
      <c r="J815" s="358"/>
      <c r="K815" s="359"/>
      <c r="L815" s="325"/>
    </row>
    <row r="816" spans="1:12" s="326" customFormat="1" ht="15">
      <c r="A816" s="406" t="s">
        <v>867</v>
      </c>
      <c r="B816" s="449" t="s">
        <v>553</v>
      </c>
      <c r="C816" s="400"/>
      <c r="D816" s="452"/>
      <c r="E816" s="81" t="s">
        <v>34</v>
      </c>
      <c r="F816" s="165">
        <f>SUM(F817:F818)</f>
        <v>2183947.54</v>
      </c>
      <c r="G816" s="356"/>
      <c r="H816" s="357"/>
      <c r="I816" s="358"/>
      <c r="J816" s="358"/>
      <c r="K816" s="359"/>
      <c r="L816" s="325"/>
    </row>
    <row r="817" spans="1:12" s="326" customFormat="1" ht="15">
      <c r="A817" s="407"/>
      <c r="B817" s="450"/>
      <c r="C817" s="401"/>
      <c r="D817" s="453"/>
      <c r="E817" s="323" t="s">
        <v>75</v>
      </c>
      <c r="F817" s="231">
        <v>2000000</v>
      </c>
      <c r="G817" s="356"/>
      <c r="H817" s="357"/>
      <c r="I817" s="358"/>
      <c r="J817" s="358"/>
      <c r="K817" s="359"/>
      <c r="L817" s="325"/>
    </row>
    <row r="818" spans="1:12" s="326" customFormat="1" ht="15">
      <c r="A818" s="408"/>
      <c r="B818" s="451"/>
      <c r="C818" s="402"/>
      <c r="D818" s="454"/>
      <c r="E818" s="323" t="s">
        <v>18</v>
      </c>
      <c r="F818" s="231">
        <v>183947.54000000004</v>
      </c>
      <c r="G818" s="356"/>
      <c r="H818" s="357"/>
      <c r="I818" s="358"/>
      <c r="J818" s="358"/>
      <c r="K818" s="359"/>
      <c r="L818" s="325"/>
    </row>
    <row r="819" spans="1:12" s="326" customFormat="1" ht="15">
      <c r="A819" s="406" t="s">
        <v>868</v>
      </c>
      <c r="B819" s="449" t="s">
        <v>554</v>
      </c>
      <c r="C819" s="400"/>
      <c r="D819" s="452"/>
      <c r="E819" s="81" t="s">
        <v>34</v>
      </c>
      <c r="F819" s="165">
        <f>SUM(F820:F821)</f>
        <v>2134507.9</v>
      </c>
      <c r="G819" s="356"/>
      <c r="H819" s="357"/>
      <c r="I819" s="358"/>
      <c r="J819" s="358"/>
      <c r="K819" s="359"/>
      <c r="L819" s="325"/>
    </row>
    <row r="820" spans="1:12" s="326" customFormat="1" ht="15">
      <c r="A820" s="407"/>
      <c r="B820" s="450"/>
      <c r="C820" s="401"/>
      <c r="D820" s="453"/>
      <c r="E820" s="323" t="s">
        <v>75</v>
      </c>
      <c r="F820" s="231">
        <v>2000000</v>
      </c>
      <c r="G820" s="356"/>
      <c r="H820" s="357"/>
      <c r="I820" s="358"/>
      <c r="J820" s="358"/>
      <c r="K820" s="359"/>
      <c r="L820" s="325"/>
    </row>
    <row r="821" spans="1:12" s="326" customFormat="1" ht="15">
      <c r="A821" s="408"/>
      <c r="B821" s="451"/>
      <c r="C821" s="402"/>
      <c r="D821" s="454"/>
      <c r="E821" s="323" t="s">
        <v>18</v>
      </c>
      <c r="F821" s="231">
        <v>134507.8999999999</v>
      </c>
      <c r="G821" s="356"/>
      <c r="H821" s="357"/>
      <c r="I821" s="358"/>
      <c r="J821" s="358"/>
      <c r="K821" s="359"/>
      <c r="L821" s="325"/>
    </row>
    <row r="822" spans="1:12" s="326" customFormat="1" ht="15">
      <c r="A822" s="406" t="s">
        <v>869</v>
      </c>
      <c r="B822" s="449" t="s">
        <v>555</v>
      </c>
      <c r="C822" s="400"/>
      <c r="D822" s="452"/>
      <c r="E822" s="81" t="s">
        <v>34</v>
      </c>
      <c r="F822" s="165">
        <f>SUM(F823:F824)</f>
        <v>10000000</v>
      </c>
      <c r="G822" s="356"/>
      <c r="H822" s="357"/>
      <c r="I822" s="358"/>
      <c r="J822" s="358"/>
      <c r="K822" s="359"/>
      <c r="L822" s="325"/>
    </row>
    <row r="823" spans="1:12" s="326" customFormat="1" ht="15">
      <c r="A823" s="407"/>
      <c r="B823" s="450"/>
      <c r="C823" s="401"/>
      <c r="D823" s="453"/>
      <c r="E823" s="323" t="s">
        <v>75</v>
      </c>
      <c r="F823" s="231">
        <v>9500000</v>
      </c>
      <c r="G823" s="356"/>
      <c r="H823" s="357"/>
      <c r="I823" s="358"/>
      <c r="J823" s="358"/>
      <c r="K823" s="359"/>
      <c r="L823" s="325"/>
    </row>
    <row r="824" spans="1:12" s="326" customFormat="1" ht="15">
      <c r="A824" s="408"/>
      <c r="B824" s="451"/>
      <c r="C824" s="402"/>
      <c r="D824" s="454"/>
      <c r="E824" s="323" t="s">
        <v>18</v>
      </c>
      <c r="F824" s="231">
        <v>500000</v>
      </c>
      <c r="G824" s="356"/>
      <c r="H824" s="357"/>
      <c r="I824" s="358"/>
      <c r="J824" s="358"/>
      <c r="K824" s="359"/>
      <c r="L824" s="325"/>
    </row>
    <row r="825" spans="1:12" s="326" customFormat="1" ht="15">
      <c r="A825" s="406" t="s">
        <v>870</v>
      </c>
      <c r="B825" s="449" t="s">
        <v>556</v>
      </c>
      <c r="C825" s="400"/>
      <c r="D825" s="452"/>
      <c r="E825" s="81" t="s">
        <v>34</v>
      </c>
      <c r="F825" s="165">
        <f>SUM(F826:F827)</f>
        <v>5041208.98</v>
      </c>
      <c r="G825" s="356"/>
      <c r="H825" s="357"/>
      <c r="I825" s="358"/>
      <c r="J825" s="358"/>
      <c r="K825" s="359"/>
      <c r="L825" s="325"/>
    </row>
    <row r="826" spans="1:12" s="326" customFormat="1" ht="15">
      <c r="A826" s="407"/>
      <c r="B826" s="450"/>
      <c r="C826" s="401"/>
      <c r="D826" s="453"/>
      <c r="E826" s="323" t="s">
        <v>75</v>
      </c>
      <c r="F826" s="231">
        <v>4000000</v>
      </c>
      <c r="G826" s="356"/>
      <c r="H826" s="357"/>
      <c r="I826" s="358"/>
      <c r="J826" s="358"/>
      <c r="K826" s="359"/>
      <c r="L826" s="325"/>
    </row>
    <row r="827" spans="1:12" s="326" customFormat="1" ht="15">
      <c r="A827" s="408"/>
      <c r="B827" s="451"/>
      <c r="C827" s="402"/>
      <c r="D827" s="454"/>
      <c r="E827" s="323" t="s">
        <v>18</v>
      </c>
      <c r="F827" s="231">
        <v>1041208.9800000004</v>
      </c>
      <c r="G827" s="356"/>
      <c r="H827" s="357"/>
      <c r="I827" s="358"/>
      <c r="J827" s="358"/>
      <c r="K827" s="359"/>
      <c r="L827" s="325"/>
    </row>
    <row r="828" spans="1:12" s="326" customFormat="1" ht="15">
      <c r="A828" s="406" t="s">
        <v>871</v>
      </c>
      <c r="B828" s="449" t="s">
        <v>557</v>
      </c>
      <c r="C828" s="400"/>
      <c r="D828" s="452"/>
      <c r="E828" s="81" t="s">
        <v>34</v>
      </c>
      <c r="F828" s="165">
        <f>SUM(F829:F830)</f>
        <v>2436166.64</v>
      </c>
      <c r="G828" s="356"/>
      <c r="H828" s="357"/>
      <c r="I828" s="358"/>
      <c r="J828" s="358"/>
      <c r="K828" s="359"/>
      <c r="L828" s="325"/>
    </row>
    <row r="829" spans="1:12" s="326" customFormat="1" ht="15">
      <c r="A829" s="407"/>
      <c r="B829" s="450"/>
      <c r="C829" s="401"/>
      <c r="D829" s="453"/>
      <c r="E829" s="323" t="s">
        <v>75</v>
      </c>
      <c r="F829" s="231">
        <v>2314358.3</v>
      </c>
      <c r="G829" s="356"/>
      <c r="H829" s="357"/>
      <c r="I829" s="358"/>
      <c r="J829" s="358"/>
      <c r="K829" s="359"/>
      <c r="L829" s="325"/>
    </row>
    <row r="830" spans="1:12" s="326" customFormat="1" ht="15">
      <c r="A830" s="408"/>
      <c r="B830" s="451"/>
      <c r="C830" s="402"/>
      <c r="D830" s="454"/>
      <c r="E830" s="323" t="s">
        <v>18</v>
      </c>
      <c r="F830" s="231">
        <v>121808.34000000032</v>
      </c>
      <c r="G830" s="356"/>
      <c r="H830" s="357"/>
      <c r="I830" s="358"/>
      <c r="J830" s="358"/>
      <c r="K830" s="359"/>
      <c r="L830" s="325"/>
    </row>
    <row r="831" spans="1:12" s="326" customFormat="1" ht="15">
      <c r="A831" s="406" t="s">
        <v>872</v>
      </c>
      <c r="B831" s="449" t="s">
        <v>558</v>
      </c>
      <c r="C831" s="400"/>
      <c r="D831" s="452"/>
      <c r="E831" s="81" t="s">
        <v>34</v>
      </c>
      <c r="F831" s="165">
        <f>SUM(F832:F833)</f>
        <v>3199062.6</v>
      </c>
      <c r="G831" s="356"/>
      <c r="H831" s="357"/>
      <c r="I831" s="358"/>
      <c r="J831" s="358"/>
      <c r="K831" s="359"/>
      <c r="L831" s="325"/>
    </row>
    <row r="832" spans="1:12" s="326" customFormat="1" ht="15">
      <c r="A832" s="407"/>
      <c r="B832" s="450"/>
      <c r="C832" s="401"/>
      <c r="D832" s="453"/>
      <c r="E832" s="323" t="s">
        <v>75</v>
      </c>
      <c r="F832" s="231">
        <v>3000000</v>
      </c>
      <c r="G832" s="356"/>
      <c r="H832" s="357"/>
      <c r="I832" s="358"/>
      <c r="J832" s="358"/>
      <c r="K832" s="359"/>
      <c r="L832" s="325"/>
    </row>
    <row r="833" spans="1:12" s="326" customFormat="1" ht="15">
      <c r="A833" s="408"/>
      <c r="B833" s="451"/>
      <c r="C833" s="402"/>
      <c r="D833" s="454"/>
      <c r="E833" s="323" t="s">
        <v>18</v>
      </c>
      <c r="F833" s="231">
        <v>199062.6000000001</v>
      </c>
      <c r="G833" s="356"/>
      <c r="H833" s="357"/>
      <c r="I833" s="358"/>
      <c r="J833" s="358"/>
      <c r="K833" s="359"/>
      <c r="L833" s="325"/>
    </row>
    <row r="834" spans="1:12" s="326" customFormat="1" ht="15">
      <c r="A834" s="406" t="s">
        <v>873</v>
      </c>
      <c r="B834" s="449" t="s">
        <v>559</v>
      </c>
      <c r="C834" s="400"/>
      <c r="D834" s="452"/>
      <c r="E834" s="81" t="s">
        <v>34</v>
      </c>
      <c r="F834" s="165">
        <f>SUM(F835:F836)</f>
        <v>3200011.32</v>
      </c>
      <c r="G834" s="356"/>
      <c r="H834" s="357"/>
      <c r="I834" s="358"/>
      <c r="J834" s="358"/>
      <c r="K834" s="359"/>
      <c r="L834" s="325"/>
    </row>
    <row r="835" spans="1:12" s="326" customFormat="1" ht="15">
      <c r="A835" s="407"/>
      <c r="B835" s="450"/>
      <c r="C835" s="401"/>
      <c r="D835" s="453"/>
      <c r="E835" s="323" t="s">
        <v>75</v>
      </c>
      <c r="F835" s="231">
        <v>3000000</v>
      </c>
      <c r="G835" s="356"/>
      <c r="H835" s="357"/>
      <c r="I835" s="358"/>
      <c r="J835" s="358"/>
      <c r="K835" s="359"/>
      <c r="L835" s="325"/>
    </row>
    <row r="836" spans="1:12" s="326" customFormat="1" ht="15">
      <c r="A836" s="408"/>
      <c r="B836" s="451"/>
      <c r="C836" s="402"/>
      <c r="D836" s="454"/>
      <c r="E836" s="323" t="s">
        <v>18</v>
      </c>
      <c r="F836" s="231">
        <v>200011.31999999983</v>
      </c>
      <c r="G836" s="356"/>
      <c r="H836" s="357"/>
      <c r="I836" s="358"/>
      <c r="J836" s="358"/>
      <c r="K836" s="359"/>
      <c r="L836" s="325"/>
    </row>
    <row r="837" spans="1:12" s="326" customFormat="1" ht="18.75" customHeight="1">
      <c r="A837" s="406" t="s">
        <v>874</v>
      </c>
      <c r="B837" s="449" t="s">
        <v>882</v>
      </c>
      <c r="C837" s="400"/>
      <c r="D837" s="452"/>
      <c r="E837" s="81" t="s">
        <v>34</v>
      </c>
      <c r="F837" s="165">
        <f>SUM(F838:F839)</f>
        <v>3882484.38</v>
      </c>
      <c r="G837" s="356"/>
      <c r="H837" s="357"/>
      <c r="I837" s="358"/>
      <c r="J837" s="358"/>
      <c r="K837" s="359"/>
      <c r="L837" s="325"/>
    </row>
    <row r="838" spans="1:12" s="326" customFormat="1" ht="18.75" customHeight="1">
      <c r="A838" s="407"/>
      <c r="B838" s="450"/>
      <c r="C838" s="401"/>
      <c r="D838" s="453"/>
      <c r="E838" s="323" t="s">
        <v>75</v>
      </c>
      <c r="F838" s="231">
        <v>3688360.16</v>
      </c>
      <c r="G838" s="356"/>
      <c r="H838" s="357"/>
      <c r="I838" s="358"/>
      <c r="J838" s="358"/>
      <c r="K838" s="359"/>
      <c r="L838" s="325"/>
    </row>
    <row r="839" spans="1:12" s="326" customFormat="1" ht="16.5" customHeight="1">
      <c r="A839" s="408"/>
      <c r="B839" s="451"/>
      <c r="C839" s="402"/>
      <c r="D839" s="454"/>
      <c r="E839" s="323" t="s">
        <v>18</v>
      </c>
      <c r="F839" s="231">
        <v>194124.21999999974</v>
      </c>
      <c r="G839" s="356"/>
      <c r="H839" s="357"/>
      <c r="I839" s="358"/>
      <c r="J839" s="358"/>
      <c r="K839" s="359"/>
      <c r="L839" s="325"/>
    </row>
    <row r="840" spans="1:12" s="326" customFormat="1" ht="15">
      <c r="A840" s="406" t="s">
        <v>875</v>
      </c>
      <c r="B840" s="449" t="s">
        <v>561</v>
      </c>
      <c r="C840" s="400"/>
      <c r="D840" s="452"/>
      <c r="E840" s="81" t="s">
        <v>34</v>
      </c>
      <c r="F840" s="165">
        <f>SUM(F841:F842)</f>
        <v>4533221.34</v>
      </c>
      <c r="G840" s="356"/>
      <c r="H840" s="357"/>
      <c r="I840" s="358"/>
      <c r="J840" s="358"/>
      <c r="K840" s="359"/>
      <c r="L840" s="325"/>
    </row>
    <row r="841" spans="1:12" s="326" customFormat="1" ht="15">
      <c r="A841" s="407"/>
      <c r="B841" s="450"/>
      <c r="C841" s="401"/>
      <c r="D841" s="453"/>
      <c r="E841" s="323" t="s">
        <v>75</v>
      </c>
      <c r="F841" s="231">
        <v>4306560.27</v>
      </c>
      <c r="G841" s="356"/>
      <c r="H841" s="357"/>
      <c r="I841" s="358"/>
      <c r="J841" s="358"/>
      <c r="K841" s="359"/>
      <c r="L841" s="325"/>
    </row>
    <row r="842" spans="1:12" s="326" customFormat="1" ht="15">
      <c r="A842" s="408"/>
      <c r="B842" s="451"/>
      <c r="C842" s="402"/>
      <c r="D842" s="454"/>
      <c r="E842" s="323" t="s">
        <v>18</v>
      </c>
      <c r="F842" s="231">
        <v>226661.0700000003</v>
      </c>
      <c r="G842" s="356"/>
      <c r="H842" s="357"/>
      <c r="I842" s="358"/>
      <c r="J842" s="358"/>
      <c r="K842" s="359"/>
      <c r="L842" s="325"/>
    </row>
    <row r="843" spans="1:12" s="326" customFormat="1" ht="15">
      <c r="A843" s="406" t="s">
        <v>876</v>
      </c>
      <c r="B843" s="449" t="s">
        <v>562</v>
      </c>
      <c r="C843" s="400"/>
      <c r="D843" s="452"/>
      <c r="E843" s="81" t="s">
        <v>34</v>
      </c>
      <c r="F843" s="165">
        <f>SUM(F844:F845)</f>
        <v>3669625.36</v>
      </c>
      <c r="G843" s="356"/>
      <c r="H843" s="357"/>
      <c r="I843" s="358"/>
      <c r="J843" s="358"/>
      <c r="K843" s="359"/>
      <c r="L843" s="325"/>
    </row>
    <row r="844" spans="1:12" s="326" customFormat="1" ht="15">
      <c r="A844" s="407"/>
      <c r="B844" s="450"/>
      <c r="C844" s="401"/>
      <c r="D844" s="453"/>
      <c r="E844" s="323" t="s">
        <v>75</v>
      </c>
      <c r="F844" s="231">
        <v>3486144.09</v>
      </c>
      <c r="G844" s="356"/>
      <c r="H844" s="357"/>
      <c r="I844" s="358"/>
      <c r="J844" s="358"/>
      <c r="K844" s="359"/>
      <c r="L844" s="325"/>
    </row>
    <row r="845" spans="1:12" s="326" customFormat="1" ht="15">
      <c r="A845" s="408"/>
      <c r="B845" s="451"/>
      <c r="C845" s="402"/>
      <c r="D845" s="454"/>
      <c r="E845" s="323" t="s">
        <v>18</v>
      </c>
      <c r="F845" s="231">
        <v>183481.27000000002</v>
      </c>
      <c r="G845" s="356"/>
      <c r="H845" s="357"/>
      <c r="I845" s="358"/>
      <c r="J845" s="358"/>
      <c r="K845" s="359"/>
      <c r="L845" s="325"/>
    </row>
    <row r="846" spans="1:12" s="326" customFormat="1" ht="15" hidden="1">
      <c r="A846" s="369" t="s">
        <v>877</v>
      </c>
      <c r="B846" s="348" t="s">
        <v>86</v>
      </c>
      <c r="C846" s="107"/>
      <c r="D846" s="330"/>
      <c r="E846" s="330" t="s">
        <v>75</v>
      </c>
      <c r="F846" s="166">
        <v>600300.53</v>
      </c>
      <c r="G846" s="356"/>
      <c r="H846" s="357"/>
      <c r="I846" s="358"/>
      <c r="J846" s="358"/>
      <c r="K846" s="359"/>
      <c r="L846" s="325"/>
    </row>
    <row r="847" spans="1:12" s="326" customFormat="1" ht="15">
      <c r="A847" s="609"/>
      <c r="B847" s="610"/>
      <c r="C847" s="610"/>
      <c r="D847" s="610"/>
      <c r="E847" s="610"/>
      <c r="F847" s="610"/>
      <c r="G847" s="356"/>
      <c r="H847" s="357"/>
      <c r="I847" s="358"/>
      <c r="J847" s="358"/>
      <c r="K847" s="359"/>
      <c r="L847" s="325"/>
    </row>
    <row r="848" spans="1:12" s="326" customFormat="1" ht="15" hidden="1">
      <c r="A848" s="445"/>
      <c r="B848" s="335" t="s">
        <v>23</v>
      </c>
      <c r="C848" s="446"/>
      <c r="D848" s="447"/>
      <c r="E848" s="389"/>
      <c r="F848" s="411"/>
      <c r="G848" s="356"/>
      <c r="H848" s="357"/>
      <c r="I848" s="358"/>
      <c r="J848" s="358"/>
      <c r="K848" s="359"/>
      <c r="L848" s="325"/>
    </row>
    <row r="849" spans="1:12" s="326" customFormat="1" ht="15" hidden="1">
      <c r="A849" s="445"/>
      <c r="B849" s="335" t="s">
        <v>131</v>
      </c>
      <c r="C849" s="446"/>
      <c r="D849" s="447"/>
      <c r="E849" s="389"/>
      <c r="F849" s="411"/>
      <c r="G849" s="356"/>
      <c r="H849" s="357"/>
      <c r="I849" s="358"/>
      <c r="J849" s="358"/>
      <c r="K849" s="359"/>
      <c r="L849" s="325"/>
    </row>
    <row r="850" spans="1:12" s="326" customFormat="1" ht="15" hidden="1">
      <c r="A850" s="445"/>
      <c r="B850" s="335" t="s">
        <v>132</v>
      </c>
      <c r="C850" s="446"/>
      <c r="D850" s="447"/>
      <c r="E850" s="389"/>
      <c r="F850" s="411"/>
      <c r="G850" s="356"/>
      <c r="H850" s="357"/>
      <c r="I850" s="358"/>
      <c r="J850" s="358"/>
      <c r="K850" s="359"/>
      <c r="L850" s="325"/>
    </row>
    <row r="851" spans="1:12" s="326" customFormat="1" ht="30" hidden="1">
      <c r="A851" s="445"/>
      <c r="B851" s="97" t="s">
        <v>133</v>
      </c>
      <c r="C851" s="446"/>
      <c r="D851" s="447"/>
      <c r="E851" s="389"/>
      <c r="F851" s="411"/>
      <c r="G851" s="356"/>
      <c r="H851" s="357"/>
      <c r="I851" s="358"/>
      <c r="J851" s="358"/>
      <c r="K851" s="359"/>
      <c r="L851" s="325"/>
    </row>
    <row r="852" spans="1:12" s="326" customFormat="1" ht="30" hidden="1">
      <c r="A852" s="445"/>
      <c r="B852" s="97" t="s">
        <v>134</v>
      </c>
      <c r="C852" s="446"/>
      <c r="D852" s="447"/>
      <c r="E852" s="389"/>
      <c r="F852" s="411"/>
      <c r="G852" s="356"/>
      <c r="H852" s="357"/>
      <c r="I852" s="358"/>
      <c r="J852" s="358"/>
      <c r="K852" s="359"/>
      <c r="L852" s="325"/>
    </row>
    <row r="853" spans="1:12" s="326" customFormat="1" ht="15" hidden="1">
      <c r="A853" s="445"/>
      <c r="B853" s="97" t="s">
        <v>135</v>
      </c>
      <c r="C853" s="446"/>
      <c r="D853" s="447"/>
      <c r="E853" s="390"/>
      <c r="F853" s="411"/>
      <c r="G853" s="356"/>
      <c r="H853" s="357"/>
      <c r="I853" s="358"/>
      <c r="J853" s="358"/>
      <c r="K853" s="359"/>
      <c r="L853" s="325"/>
    </row>
    <row r="854" spans="1:12" s="326" customFormat="1" ht="15">
      <c r="A854" s="448" t="s">
        <v>246</v>
      </c>
      <c r="B854" s="373" t="s">
        <v>883</v>
      </c>
      <c r="C854" s="409"/>
      <c r="D854" s="410"/>
      <c r="E854" s="388" t="s">
        <v>34</v>
      </c>
      <c r="F854" s="381">
        <v>52492873.75</v>
      </c>
      <c r="G854" s="356"/>
      <c r="H854" s="357"/>
      <c r="I854" s="358"/>
      <c r="J854" s="358"/>
      <c r="K854" s="359"/>
      <c r="L854" s="325"/>
    </row>
    <row r="855" spans="1:12" s="326" customFormat="1" ht="15">
      <c r="A855" s="441"/>
      <c r="B855" s="374"/>
      <c r="C855" s="409"/>
      <c r="D855" s="410"/>
      <c r="E855" s="389"/>
      <c r="F855" s="382"/>
      <c r="G855" s="356"/>
      <c r="H855" s="357"/>
      <c r="I855" s="358"/>
      <c r="J855" s="358"/>
      <c r="K855" s="359"/>
      <c r="L855" s="325"/>
    </row>
    <row r="856" spans="1:12" s="326" customFormat="1" ht="15">
      <c r="A856" s="441"/>
      <c r="B856" s="374"/>
      <c r="C856" s="409"/>
      <c r="D856" s="410"/>
      <c r="E856" s="390"/>
      <c r="F856" s="383"/>
      <c r="G856" s="356"/>
      <c r="H856" s="357"/>
      <c r="I856" s="358"/>
      <c r="J856" s="358"/>
      <c r="K856" s="359"/>
      <c r="L856" s="325"/>
    </row>
    <row r="857" spans="1:12" s="326" customFormat="1" ht="15">
      <c r="A857" s="391" t="s">
        <v>72</v>
      </c>
      <c r="B857" s="442" t="s">
        <v>388</v>
      </c>
      <c r="C857" s="409"/>
      <c r="D857" s="410"/>
      <c r="E857" s="81" t="s">
        <v>34</v>
      </c>
      <c r="F857" s="160">
        <f>SUM(F858:F859)</f>
        <v>1585423.2</v>
      </c>
      <c r="G857" s="356"/>
      <c r="H857" s="357"/>
      <c r="I857" s="358"/>
      <c r="J857" s="358"/>
      <c r="K857" s="359"/>
      <c r="L857" s="325"/>
    </row>
    <row r="858" spans="1:12" s="326" customFormat="1" ht="15">
      <c r="A858" s="435"/>
      <c r="B858" s="443"/>
      <c r="C858" s="409"/>
      <c r="D858" s="410"/>
      <c r="E858" s="305" t="s">
        <v>75</v>
      </c>
      <c r="F858" s="246">
        <v>1500000</v>
      </c>
      <c r="G858" s="356"/>
      <c r="H858" s="357"/>
      <c r="I858" s="358"/>
      <c r="J858" s="358"/>
      <c r="K858" s="359"/>
      <c r="L858" s="325"/>
    </row>
    <row r="859" spans="1:12" s="326" customFormat="1" ht="15">
      <c r="A859" s="435"/>
      <c r="B859" s="444"/>
      <c r="C859" s="409"/>
      <c r="D859" s="410"/>
      <c r="E859" s="305" t="s">
        <v>18</v>
      </c>
      <c r="F859" s="161">
        <v>85423.19999999995</v>
      </c>
      <c r="G859" s="356"/>
      <c r="H859" s="357"/>
      <c r="I859" s="358"/>
      <c r="J859" s="358"/>
      <c r="K859" s="359"/>
      <c r="L859" s="325"/>
    </row>
    <row r="860" spans="1:12" s="326" customFormat="1" ht="15">
      <c r="A860" s="391" t="s">
        <v>73</v>
      </c>
      <c r="B860" s="436" t="s">
        <v>389</v>
      </c>
      <c r="C860" s="409"/>
      <c r="D860" s="410"/>
      <c r="E860" s="81" t="s">
        <v>34</v>
      </c>
      <c r="F860" s="160">
        <f>SUM(F861:F862)</f>
        <v>474317.52</v>
      </c>
      <c r="G860" s="356"/>
      <c r="H860" s="357"/>
      <c r="I860" s="358"/>
      <c r="J860" s="358"/>
      <c r="K860" s="359"/>
      <c r="L860" s="325"/>
    </row>
    <row r="861" spans="1:12" s="326" customFormat="1" ht="15">
      <c r="A861" s="435"/>
      <c r="B861" s="437"/>
      <c r="C861" s="409"/>
      <c r="D861" s="410"/>
      <c r="E861" s="305" t="s">
        <v>75</v>
      </c>
      <c r="F861" s="250">
        <v>450000</v>
      </c>
      <c r="G861" s="356"/>
      <c r="H861" s="357"/>
      <c r="I861" s="358"/>
      <c r="J861" s="358"/>
      <c r="K861" s="359"/>
      <c r="L861" s="325"/>
    </row>
    <row r="862" spans="1:12" s="326" customFormat="1" ht="15">
      <c r="A862" s="435"/>
      <c r="B862" s="438"/>
      <c r="C862" s="409"/>
      <c r="D862" s="410"/>
      <c r="E862" s="305" t="s">
        <v>18</v>
      </c>
      <c r="F862" s="161">
        <v>24317.52000000002</v>
      </c>
      <c r="G862" s="356"/>
      <c r="H862" s="357"/>
      <c r="I862" s="358"/>
      <c r="J862" s="358"/>
      <c r="K862" s="359"/>
      <c r="L862" s="325"/>
    </row>
    <row r="863" spans="1:12" s="326" customFormat="1" ht="15">
      <c r="A863" s="391" t="s">
        <v>309</v>
      </c>
      <c r="B863" s="436" t="s">
        <v>390</v>
      </c>
      <c r="C863" s="409"/>
      <c r="D863" s="410"/>
      <c r="E863" s="81" t="s">
        <v>34</v>
      </c>
      <c r="F863" s="160">
        <f>SUM(F864:F865)</f>
        <v>3027529.54</v>
      </c>
      <c r="G863" s="356"/>
      <c r="H863" s="357"/>
      <c r="I863" s="358"/>
      <c r="J863" s="358"/>
      <c r="K863" s="359"/>
      <c r="L863" s="325"/>
    </row>
    <row r="864" spans="1:12" s="326" customFormat="1" ht="15">
      <c r="A864" s="435"/>
      <c r="B864" s="437"/>
      <c r="C864" s="409"/>
      <c r="D864" s="410"/>
      <c r="E864" s="305" t="s">
        <v>75</v>
      </c>
      <c r="F864" s="250">
        <v>2876153.06</v>
      </c>
      <c r="G864" s="356"/>
      <c r="H864" s="357"/>
      <c r="I864" s="358"/>
      <c r="J864" s="358"/>
      <c r="K864" s="359"/>
      <c r="L864" s="325"/>
    </row>
    <row r="865" spans="1:12" s="326" customFormat="1" ht="15">
      <c r="A865" s="435"/>
      <c r="B865" s="438"/>
      <c r="C865" s="409"/>
      <c r="D865" s="410"/>
      <c r="E865" s="305" t="s">
        <v>18</v>
      </c>
      <c r="F865" s="161">
        <v>151376.47999999998</v>
      </c>
      <c r="G865" s="356"/>
      <c r="H865" s="357"/>
      <c r="I865" s="358"/>
      <c r="J865" s="358"/>
      <c r="K865" s="359"/>
      <c r="L865" s="325"/>
    </row>
    <row r="866" spans="1:12" s="326" customFormat="1" ht="15">
      <c r="A866" s="391" t="s">
        <v>310</v>
      </c>
      <c r="B866" s="436" t="s">
        <v>391</v>
      </c>
      <c r="C866" s="409"/>
      <c r="D866" s="410"/>
      <c r="E866" s="81" t="s">
        <v>34</v>
      </c>
      <c r="F866" s="160">
        <f>SUM(F867:F868)</f>
        <v>499967.18</v>
      </c>
      <c r="G866" s="356"/>
      <c r="H866" s="357"/>
      <c r="I866" s="358"/>
      <c r="J866" s="358"/>
      <c r="K866" s="359"/>
      <c r="L866" s="325"/>
    </row>
    <row r="867" spans="1:12" s="326" customFormat="1" ht="15">
      <c r="A867" s="435"/>
      <c r="B867" s="437"/>
      <c r="C867" s="409"/>
      <c r="D867" s="410"/>
      <c r="E867" s="305" t="s">
        <v>75</v>
      </c>
      <c r="F867" s="250">
        <v>474968</v>
      </c>
      <c r="G867" s="356"/>
      <c r="H867" s="357"/>
      <c r="I867" s="358"/>
      <c r="J867" s="358"/>
      <c r="K867" s="359"/>
      <c r="L867" s="325"/>
    </row>
    <row r="868" spans="1:12" s="326" customFormat="1" ht="15">
      <c r="A868" s="435"/>
      <c r="B868" s="438"/>
      <c r="C868" s="409"/>
      <c r="D868" s="410"/>
      <c r="E868" s="305" t="s">
        <v>18</v>
      </c>
      <c r="F868" s="161">
        <v>24999.179999999993</v>
      </c>
      <c r="G868" s="356"/>
      <c r="H868" s="357"/>
      <c r="I868" s="358"/>
      <c r="J868" s="358"/>
      <c r="K868" s="359"/>
      <c r="L868" s="325"/>
    </row>
    <row r="869" spans="1:12" s="326" customFormat="1" ht="15">
      <c r="A869" s="391" t="s">
        <v>311</v>
      </c>
      <c r="B869" s="436" t="s">
        <v>392</v>
      </c>
      <c r="C869" s="409"/>
      <c r="D869" s="410"/>
      <c r="E869" s="81" t="s">
        <v>34</v>
      </c>
      <c r="F869" s="160">
        <f>SUM(F870:F871)</f>
        <v>42127435</v>
      </c>
      <c r="G869" s="356"/>
      <c r="H869" s="357"/>
      <c r="I869" s="358"/>
      <c r="J869" s="358"/>
      <c r="K869" s="359"/>
      <c r="L869" s="325"/>
    </row>
    <row r="870" spans="1:12" s="326" customFormat="1" ht="15">
      <c r="A870" s="435"/>
      <c r="B870" s="437"/>
      <c r="C870" s="409"/>
      <c r="D870" s="410"/>
      <c r="E870" s="305" t="s">
        <v>75</v>
      </c>
      <c r="F870" s="250">
        <v>40000000</v>
      </c>
      <c r="G870" s="356"/>
      <c r="H870" s="357"/>
      <c r="I870" s="358"/>
      <c r="J870" s="358"/>
      <c r="K870" s="359"/>
      <c r="L870" s="325"/>
    </row>
    <row r="871" spans="1:12" s="326" customFormat="1" ht="15">
      <c r="A871" s="435"/>
      <c r="B871" s="438"/>
      <c r="C871" s="409"/>
      <c r="D871" s="410"/>
      <c r="E871" s="305" t="s">
        <v>18</v>
      </c>
      <c r="F871" s="161">
        <v>2127435</v>
      </c>
      <c r="G871" s="356"/>
      <c r="H871" s="357"/>
      <c r="I871" s="358"/>
      <c r="J871" s="358"/>
      <c r="K871" s="359"/>
      <c r="L871" s="325"/>
    </row>
    <row r="872" spans="1:12" s="326" customFormat="1" ht="15">
      <c r="A872" s="391" t="s">
        <v>312</v>
      </c>
      <c r="B872" s="436" t="s">
        <v>393</v>
      </c>
      <c r="C872" s="409"/>
      <c r="D872" s="305"/>
      <c r="E872" s="81" t="s">
        <v>34</v>
      </c>
      <c r="F872" s="160">
        <f>SUM(F873:F874)</f>
        <v>533595.21</v>
      </c>
      <c r="G872" s="356"/>
      <c r="H872" s="357"/>
      <c r="I872" s="358"/>
      <c r="J872" s="358"/>
      <c r="K872" s="359"/>
      <c r="L872" s="325"/>
    </row>
    <row r="873" spans="1:12" s="326" customFormat="1" ht="15">
      <c r="A873" s="435"/>
      <c r="B873" s="437"/>
      <c r="C873" s="409"/>
      <c r="D873" s="305"/>
      <c r="E873" s="305" t="s">
        <v>75</v>
      </c>
      <c r="F873" s="250">
        <v>506915.44</v>
      </c>
      <c r="G873" s="356"/>
      <c r="H873" s="357"/>
      <c r="I873" s="358"/>
      <c r="J873" s="358"/>
      <c r="K873" s="359"/>
      <c r="L873" s="325"/>
    </row>
    <row r="874" spans="1:12" s="326" customFormat="1" ht="15">
      <c r="A874" s="435"/>
      <c r="B874" s="438"/>
      <c r="C874" s="409"/>
      <c r="D874" s="305"/>
      <c r="E874" s="305" t="s">
        <v>18</v>
      </c>
      <c r="F874" s="161">
        <v>26679.76999999996</v>
      </c>
      <c r="G874" s="356"/>
      <c r="H874" s="357"/>
      <c r="I874" s="358"/>
      <c r="J874" s="358"/>
      <c r="K874" s="359"/>
      <c r="L874" s="325"/>
    </row>
    <row r="875" spans="1:12" s="326" customFormat="1" ht="15">
      <c r="A875" s="391" t="s">
        <v>313</v>
      </c>
      <c r="B875" s="436" t="s">
        <v>394</v>
      </c>
      <c r="C875" s="409"/>
      <c r="D875" s="410"/>
      <c r="E875" s="81" t="s">
        <v>34</v>
      </c>
      <c r="F875" s="160">
        <f>SUM(F876:F877)</f>
        <v>1052642.6</v>
      </c>
      <c r="G875" s="356"/>
      <c r="H875" s="357"/>
      <c r="I875" s="358"/>
      <c r="J875" s="358"/>
      <c r="K875" s="359"/>
      <c r="L875" s="325"/>
    </row>
    <row r="876" spans="1:12" s="326" customFormat="1" ht="15">
      <c r="A876" s="435"/>
      <c r="B876" s="437"/>
      <c r="C876" s="409"/>
      <c r="D876" s="410"/>
      <c r="E876" s="305" t="s">
        <v>75</v>
      </c>
      <c r="F876" s="250">
        <v>1000000</v>
      </c>
      <c r="G876" s="356"/>
      <c r="H876" s="357"/>
      <c r="I876" s="358"/>
      <c r="J876" s="358"/>
      <c r="K876" s="359"/>
      <c r="L876" s="325"/>
    </row>
    <row r="877" spans="1:12" s="326" customFormat="1" ht="15">
      <c r="A877" s="435"/>
      <c r="B877" s="438"/>
      <c r="C877" s="409"/>
      <c r="D877" s="410"/>
      <c r="E877" s="305" t="s">
        <v>18</v>
      </c>
      <c r="F877" s="161">
        <v>52642.60000000009</v>
      </c>
      <c r="G877" s="356"/>
      <c r="H877" s="357"/>
      <c r="I877" s="358"/>
      <c r="J877" s="358"/>
      <c r="K877" s="359"/>
      <c r="L877" s="325"/>
    </row>
    <row r="878" spans="1:12" s="326" customFormat="1" ht="15" hidden="1">
      <c r="A878" s="185" t="s">
        <v>655</v>
      </c>
      <c r="B878" s="311" t="s">
        <v>86</v>
      </c>
      <c r="C878" s="313"/>
      <c r="D878" s="316"/>
      <c r="E878" s="305" t="s">
        <v>75</v>
      </c>
      <c r="F878" s="161">
        <f>50000000-F858-F861-F864-F867-F870-F873-F876</f>
        <v>3191963.4999999977</v>
      </c>
      <c r="G878" s="356"/>
      <c r="H878" s="357"/>
      <c r="I878" s="358"/>
      <c r="J878" s="358"/>
      <c r="K878" s="359"/>
      <c r="L878" s="325"/>
    </row>
    <row r="879" spans="1:12" s="326" customFormat="1" ht="15" hidden="1">
      <c r="A879" s="361"/>
      <c r="B879" s="362"/>
      <c r="C879" s="140"/>
      <c r="D879" s="363"/>
      <c r="E879" s="363"/>
      <c r="F879" s="364"/>
      <c r="G879" s="356"/>
      <c r="H879" s="357"/>
      <c r="I879" s="358"/>
      <c r="J879" s="358"/>
      <c r="K879" s="359"/>
      <c r="L879" s="325"/>
    </row>
    <row r="880" spans="1:12" s="326" customFormat="1" ht="15" hidden="1">
      <c r="A880" s="361"/>
      <c r="B880" s="362"/>
      <c r="C880" s="140"/>
      <c r="D880" s="363"/>
      <c r="E880" s="363"/>
      <c r="F880" s="364"/>
      <c r="G880" s="356"/>
      <c r="H880" s="357"/>
      <c r="I880" s="358"/>
      <c r="J880" s="358"/>
      <c r="K880" s="359"/>
      <c r="L880" s="325"/>
    </row>
    <row r="881" spans="1:12" s="326" customFormat="1" ht="15" hidden="1">
      <c r="A881" s="361"/>
      <c r="B881" s="362"/>
      <c r="C881" s="140"/>
      <c r="D881" s="363"/>
      <c r="E881" s="363"/>
      <c r="F881" s="364"/>
      <c r="G881" s="356"/>
      <c r="H881" s="357"/>
      <c r="I881" s="358"/>
      <c r="J881" s="358"/>
      <c r="K881" s="359"/>
      <c r="L881" s="325"/>
    </row>
    <row r="882" spans="1:12" s="326" customFormat="1" ht="15" hidden="1">
      <c r="A882" s="361"/>
      <c r="B882" s="362"/>
      <c r="C882" s="140"/>
      <c r="D882" s="363"/>
      <c r="E882" s="363"/>
      <c r="F882" s="364"/>
      <c r="G882" s="356"/>
      <c r="H882" s="357"/>
      <c r="I882" s="358"/>
      <c r="J882" s="358"/>
      <c r="K882" s="359"/>
      <c r="L882" s="325"/>
    </row>
    <row r="883" spans="1:12" s="326" customFormat="1" ht="15" hidden="1">
      <c r="A883" s="361"/>
      <c r="B883" s="362"/>
      <c r="C883" s="140"/>
      <c r="D883" s="363"/>
      <c r="E883" s="363"/>
      <c r="F883" s="364"/>
      <c r="G883" s="356"/>
      <c r="H883" s="357"/>
      <c r="I883" s="358"/>
      <c r="J883" s="358"/>
      <c r="K883" s="359"/>
      <c r="L883" s="325"/>
    </row>
    <row r="884" spans="1:12" s="326" customFormat="1" ht="15" hidden="1">
      <c r="A884" s="361"/>
      <c r="B884" s="362"/>
      <c r="C884" s="140"/>
      <c r="D884" s="363"/>
      <c r="E884" s="363"/>
      <c r="F884" s="364"/>
      <c r="G884" s="356"/>
      <c r="H884" s="357"/>
      <c r="I884" s="358"/>
      <c r="J884" s="358"/>
      <c r="K884" s="359"/>
      <c r="L884" s="325"/>
    </row>
    <row r="885" spans="1:12" s="326" customFormat="1" ht="15" hidden="1">
      <c r="A885" s="361"/>
      <c r="B885" s="362"/>
      <c r="C885" s="140"/>
      <c r="D885" s="363"/>
      <c r="E885" s="363"/>
      <c r="F885" s="364"/>
      <c r="G885" s="356"/>
      <c r="H885" s="357"/>
      <c r="I885" s="358"/>
      <c r="J885" s="358"/>
      <c r="K885" s="359"/>
      <c r="L885" s="325"/>
    </row>
    <row r="886" spans="1:12" s="326" customFormat="1" ht="15" hidden="1">
      <c r="A886" s="361"/>
      <c r="B886" s="362"/>
      <c r="C886" s="140"/>
      <c r="D886" s="363"/>
      <c r="E886" s="363"/>
      <c r="F886" s="364"/>
      <c r="G886" s="356"/>
      <c r="H886" s="357"/>
      <c r="I886" s="358"/>
      <c r="J886" s="358"/>
      <c r="K886" s="359"/>
      <c r="L886" s="325"/>
    </row>
    <row r="887" spans="1:12" s="326" customFormat="1" ht="15" hidden="1">
      <c r="A887" s="361"/>
      <c r="B887" s="362"/>
      <c r="C887" s="140"/>
      <c r="D887" s="363"/>
      <c r="E887" s="363"/>
      <c r="F887" s="364"/>
      <c r="G887" s="356"/>
      <c r="H887" s="357"/>
      <c r="I887" s="358"/>
      <c r="J887" s="358"/>
      <c r="K887" s="359"/>
      <c r="L887" s="325"/>
    </row>
    <row r="888" spans="1:12" s="326" customFormat="1" ht="15" hidden="1">
      <c r="A888" s="361"/>
      <c r="B888" s="362"/>
      <c r="C888" s="140"/>
      <c r="D888" s="363"/>
      <c r="E888" s="363"/>
      <c r="F888" s="364"/>
      <c r="G888" s="356"/>
      <c r="H888" s="357"/>
      <c r="I888" s="358"/>
      <c r="J888" s="358"/>
      <c r="K888" s="359"/>
      <c r="L888" s="325"/>
    </row>
    <row r="889" spans="1:12" s="326" customFormat="1" ht="15" hidden="1">
      <c r="A889" s="361"/>
      <c r="B889" s="362"/>
      <c r="C889" s="140"/>
      <c r="D889" s="363"/>
      <c r="E889" s="363"/>
      <c r="F889" s="364"/>
      <c r="G889" s="356"/>
      <c r="H889" s="357"/>
      <c r="I889" s="358"/>
      <c r="J889" s="358"/>
      <c r="K889" s="359"/>
      <c r="L889" s="325"/>
    </row>
    <row r="890" spans="1:12" s="326" customFormat="1" ht="15" hidden="1">
      <c r="A890" s="361"/>
      <c r="B890" s="362"/>
      <c r="C890" s="140"/>
      <c r="D890" s="363"/>
      <c r="E890" s="363"/>
      <c r="F890" s="364"/>
      <c r="G890" s="356"/>
      <c r="H890" s="357"/>
      <c r="I890" s="358"/>
      <c r="J890" s="358"/>
      <c r="K890" s="359"/>
      <c r="L890" s="325"/>
    </row>
    <row r="891" spans="1:12" s="326" customFormat="1" ht="15" hidden="1">
      <c r="A891" s="361"/>
      <c r="B891" s="362"/>
      <c r="C891" s="140"/>
      <c r="D891" s="363"/>
      <c r="E891" s="363"/>
      <c r="F891" s="364"/>
      <c r="G891" s="356"/>
      <c r="H891" s="357"/>
      <c r="I891" s="358"/>
      <c r="J891" s="358"/>
      <c r="K891" s="359"/>
      <c r="L891" s="325"/>
    </row>
    <row r="892" spans="1:12" s="326" customFormat="1" ht="15" hidden="1">
      <c r="A892" s="361"/>
      <c r="B892" s="362"/>
      <c r="C892" s="140"/>
      <c r="D892" s="363"/>
      <c r="E892" s="363"/>
      <c r="F892" s="364"/>
      <c r="G892" s="356"/>
      <c r="H892" s="357"/>
      <c r="I892" s="358"/>
      <c r="J892" s="358"/>
      <c r="K892" s="359"/>
      <c r="L892" s="325"/>
    </row>
    <row r="893" spans="1:12" s="326" customFormat="1" ht="15" hidden="1">
      <c r="A893" s="361"/>
      <c r="B893" s="362"/>
      <c r="C893" s="140"/>
      <c r="D893" s="363"/>
      <c r="E893" s="363"/>
      <c r="F893" s="364"/>
      <c r="G893" s="356"/>
      <c r="H893" s="357"/>
      <c r="I893" s="358"/>
      <c r="J893" s="358"/>
      <c r="K893" s="359"/>
      <c r="L893" s="325"/>
    </row>
    <row r="894" spans="1:12" s="326" customFormat="1" ht="15" hidden="1">
      <c r="A894" s="361"/>
      <c r="B894" s="362"/>
      <c r="C894" s="140"/>
      <c r="D894" s="363"/>
      <c r="E894" s="363"/>
      <c r="F894" s="364"/>
      <c r="G894" s="356"/>
      <c r="H894" s="357"/>
      <c r="I894" s="358"/>
      <c r="J894" s="358"/>
      <c r="K894" s="359"/>
      <c r="L894" s="325"/>
    </row>
    <row r="895" spans="1:12" s="326" customFormat="1" ht="15" hidden="1">
      <c r="A895" s="361"/>
      <c r="B895" s="362"/>
      <c r="C895" s="140"/>
      <c r="D895" s="363"/>
      <c r="E895" s="363"/>
      <c r="F895" s="364"/>
      <c r="G895" s="356"/>
      <c r="H895" s="357"/>
      <c r="I895" s="358"/>
      <c r="J895" s="358"/>
      <c r="K895" s="359"/>
      <c r="L895" s="325"/>
    </row>
    <row r="896" spans="1:12" s="326" customFormat="1" ht="15" hidden="1">
      <c r="A896" s="361"/>
      <c r="B896" s="362"/>
      <c r="C896" s="140"/>
      <c r="D896" s="363"/>
      <c r="E896" s="363"/>
      <c r="F896" s="364"/>
      <c r="G896" s="356"/>
      <c r="H896" s="357"/>
      <c r="I896" s="358"/>
      <c r="J896" s="358"/>
      <c r="K896" s="359"/>
      <c r="L896" s="325"/>
    </row>
    <row r="897" spans="1:12" s="326" customFormat="1" ht="15" hidden="1">
      <c r="A897" s="361"/>
      <c r="B897" s="362"/>
      <c r="C897" s="140"/>
      <c r="D897" s="363"/>
      <c r="E897" s="363"/>
      <c r="F897" s="364"/>
      <c r="G897" s="356"/>
      <c r="H897" s="357"/>
      <c r="I897" s="358"/>
      <c r="J897" s="358"/>
      <c r="K897" s="359"/>
      <c r="L897" s="325"/>
    </row>
    <row r="898" spans="1:12" s="326" customFormat="1" ht="15" hidden="1">
      <c r="A898" s="361"/>
      <c r="B898" s="362"/>
      <c r="C898" s="140"/>
      <c r="D898" s="363"/>
      <c r="E898" s="363"/>
      <c r="F898" s="364"/>
      <c r="G898" s="356"/>
      <c r="H898" s="357"/>
      <c r="I898" s="358"/>
      <c r="J898" s="358"/>
      <c r="K898" s="359"/>
      <c r="L898" s="325"/>
    </row>
    <row r="899" spans="1:12" s="326" customFormat="1" ht="15" hidden="1">
      <c r="A899" s="361"/>
      <c r="B899" s="362"/>
      <c r="C899" s="140"/>
      <c r="D899" s="363"/>
      <c r="E899" s="363"/>
      <c r="F899" s="364"/>
      <c r="G899" s="356"/>
      <c r="H899" s="357"/>
      <c r="I899" s="358"/>
      <c r="J899" s="358"/>
      <c r="K899" s="359"/>
      <c r="L899" s="325"/>
    </row>
    <row r="900" spans="1:12" s="326" customFormat="1" ht="15" hidden="1">
      <c r="A900" s="361"/>
      <c r="B900" s="362"/>
      <c r="C900" s="140"/>
      <c r="D900" s="363"/>
      <c r="E900" s="363"/>
      <c r="F900" s="364"/>
      <c r="G900" s="356"/>
      <c r="H900" s="357"/>
      <c r="I900" s="358"/>
      <c r="J900" s="358"/>
      <c r="K900" s="359"/>
      <c r="L900" s="325"/>
    </row>
    <row r="901" spans="1:12" s="326" customFormat="1" ht="15" hidden="1">
      <c r="A901" s="361"/>
      <c r="B901" s="362"/>
      <c r="C901" s="140"/>
      <c r="D901" s="363"/>
      <c r="E901" s="363"/>
      <c r="F901" s="364"/>
      <c r="G901" s="356"/>
      <c r="H901" s="357"/>
      <c r="I901" s="358"/>
      <c r="J901" s="358"/>
      <c r="K901" s="359"/>
      <c r="L901" s="325"/>
    </row>
    <row r="902" spans="1:12" s="326" customFormat="1" ht="15" hidden="1">
      <c r="A902" s="361"/>
      <c r="B902" s="362"/>
      <c r="C902" s="140"/>
      <c r="D902" s="363"/>
      <c r="E902" s="363"/>
      <c r="F902" s="364"/>
      <c r="G902" s="356"/>
      <c r="H902" s="357"/>
      <c r="I902" s="358"/>
      <c r="J902" s="358"/>
      <c r="K902" s="359"/>
      <c r="L902" s="325"/>
    </row>
    <row r="903" spans="1:12" s="326" customFormat="1" ht="15" hidden="1">
      <c r="A903" s="361"/>
      <c r="B903" s="362"/>
      <c r="C903" s="140"/>
      <c r="D903" s="363"/>
      <c r="E903" s="363"/>
      <c r="F903" s="364"/>
      <c r="G903" s="356"/>
      <c r="H903" s="357"/>
      <c r="I903" s="358"/>
      <c r="J903" s="358"/>
      <c r="K903" s="359"/>
      <c r="L903" s="325"/>
    </row>
    <row r="904" spans="1:12" s="326" customFormat="1" ht="15" hidden="1">
      <c r="A904" s="361"/>
      <c r="B904" s="362"/>
      <c r="C904" s="140"/>
      <c r="D904" s="363"/>
      <c r="E904" s="363"/>
      <c r="F904" s="364"/>
      <c r="G904" s="356"/>
      <c r="H904" s="357"/>
      <c r="I904" s="358"/>
      <c r="J904" s="358"/>
      <c r="K904" s="359"/>
      <c r="L904" s="325"/>
    </row>
    <row r="905" spans="1:12" s="326" customFormat="1" ht="15" hidden="1">
      <c r="A905" s="361"/>
      <c r="B905" s="362"/>
      <c r="C905" s="140"/>
      <c r="D905" s="363"/>
      <c r="E905" s="363"/>
      <c r="F905" s="364"/>
      <c r="G905" s="356"/>
      <c r="H905" s="357"/>
      <c r="I905" s="358"/>
      <c r="J905" s="358"/>
      <c r="K905" s="359"/>
      <c r="L905" s="325"/>
    </row>
    <row r="906" spans="1:12" s="326" customFormat="1" ht="15" hidden="1">
      <c r="A906" s="361"/>
      <c r="B906" s="362"/>
      <c r="C906" s="140"/>
      <c r="D906" s="363"/>
      <c r="E906" s="363"/>
      <c r="F906" s="364"/>
      <c r="G906" s="356"/>
      <c r="H906" s="357"/>
      <c r="I906" s="358"/>
      <c r="J906" s="358"/>
      <c r="K906" s="359"/>
      <c r="L906" s="325"/>
    </row>
    <row r="907" spans="1:12" s="326" customFormat="1" ht="15" hidden="1">
      <c r="A907" s="361"/>
      <c r="B907" s="362"/>
      <c r="C907" s="140"/>
      <c r="D907" s="363"/>
      <c r="E907" s="363"/>
      <c r="F907" s="364"/>
      <c r="G907" s="356"/>
      <c r="H907" s="357"/>
      <c r="I907" s="358"/>
      <c r="J907" s="358"/>
      <c r="K907" s="359"/>
      <c r="L907" s="325"/>
    </row>
    <row r="908" spans="1:12" s="326" customFormat="1" ht="15" hidden="1">
      <c r="A908" s="361"/>
      <c r="B908" s="362"/>
      <c r="C908" s="140"/>
      <c r="D908" s="363"/>
      <c r="E908" s="363"/>
      <c r="F908" s="364"/>
      <c r="G908" s="356"/>
      <c r="H908" s="357"/>
      <c r="I908" s="358"/>
      <c r="J908" s="358"/>
      <c r="K908" s="359"/>
      <c r="L908" s="325"/>
    </row>
    <row r="909" spans="1:12" s="326" customFormat="1" ht="15" hidden="1">
      <c r="A909" s="361"/>
      <c r="B909" s="362"/>
      <c r="C909" s="140"/>
      <c r="D909" s="363"/>
      <c r="E909" s="363"/>
      <c r="F909" s="364"/>
      <c r="G909" s="356"/>
      <c r="H909" s="357"/>
      <c r="I909" s="358"/>
      <c r="J909" s="358"/>
      <c r="K909" s="359"/>
      <c r="L909" s="325"/>
    </row>
    <row r="910" spans="1:12" s="326" customFormat="1" ht="15" hidden="1">
      <c r="A910" s="361"/>
      <c r="B910" s="362"/>
      <c r="C910" s="140"/>
      <c r="D910" s="363"/>
      <c r="E910" s="363"/>
      <c r="F910" s="364"/>
      <c r="G910" s="356"/>
      <c r="H910" s="357"/>
      <c r="I910" s="358"/>
      <c r="J910" s="358"/>
      <c r="K910" s="359"/>
      <c r="L910" s="325"/>
    </row>
    <row r="911" spans="1:12" s="326" customFormat="1" ht="15" hidden="1">
      <c r="A911" s="361"/>
      <c r="B911" s="362"/>
      <c r="C911" s="140"/>
      <c r="D911" s="363"/>
      <c r="E911" s="363"/>
      <c r="F911" s="364"/>
      <c r="G911" s="356"/>
      <c r="H911" s="357"/>
      <c r="I911" s="358"/>
      <c r="J911" s="358"/>
      <c r="K911" s="359"/>
      <c r="L911" s="325"/>
    </row>
    <row r="912" spans="1:12" s="326" customFormat="1" ht="15" hidden="1">
      <c r="A912" s="361"/>
      <c r="B912" s="362"/>
      <c r="C912" s="140"/>
      <c r="D912" s="363"/>
      <c r="E912" s="363"/>
      <c r="F912" s="364"/>
      <c r="G912" s="356"/>
      <c r="H912" s="357"/>
      <c r="I912" s="358"/>
      <c r="J912" s="358"/>
      <c r="K912" s="359"/>
      <c r="L912" s="325"/>
    </row>
    <row r="913" spans="1:12" s="326" customFormat="1" ht="15" hidden="1">
      <c r="A913" s="361"/>
      <c r="B913" s="362"/>
      <c r="C913" s="140"/>
      <c r="D913" s="363"/>
      <c r="E913" s="363"/>
      <c r="F913" s="364"/>
      <c r="G913" s="356"/>
      <c r="H913" s="357"/>
      <c r="I913" s="358"/>
      <c r="J913" s="358"/>
      <c r="K913" s="359"/>
      <c r="L913" s="325"/>
    </row>
    <row r="914" spans="1:12" s="326" customFormat="1" ht="15" hidden="1">
      <c r="A914" s="361"/>
      <c r="B914" s="362"/>
      <c r="C914" s="140"/>
      <c r="D914" s="363"/>
      <c r="E914" s="363"/>
      <c r="F914" s="364"/>
      <c r="G914" s="356"/>
      <c r="H914" s="357"/>
      <c r="I914" s="358"/>
      <c r="J914" s="358"/>
      <c r="K914" s="359"/>
      <c r="L914" s="325"/>
    </row>
    <row r="915" spans="1:12" s="326" customFormat="1" ht="15" hidden="1">
      <c r="A915" s="361"/>
      <c r="B915" s="362"/>
      <c r="C915" s="140"/>
      <c r="D915" s="363"/>
      <c r="E915" s="363"/>
      <c r="F915" s="364"/>
      <c r="G915" s="356"/>
      <c r="H915" s="357"/>
      <c r="I915" s="358"/>
      <c r="J915" s="358"/>
      <c r="K915" s="359"/>
      <c r="L915" s="325"/>
    </row>
    <row r="916" spans="1:12" s="326" customFormat="1" ht="15" hidden="1">
      <c r="A916" s="361"/>
      <c r="B916" s="362"/>
      <c r="C916" s="140"/>
      <c r="D916" s="363"/>
      <c r="E916" s="363"/>
      <c r="F916" s="364"/>
      <c r="G916" s="356"/>
      <c r="H916" s="357"/>
      <c r="I916" s="358"/>
      <c r="J916" s="358"/>
      <c r="K916" s="359"/>
      <c r="L916" s="325"/>
    </row>
    <row r="917" spans="1:12" s="326" customFormat="1" ht="15" hidden="1">
      <c r="A917" s="361"/>
      <c r="B917" s="362"/>
      <c r="C917" s="140"/>
      <c r="D917" s="363"/>
      <c r="E917" s="363"/>
      <c r="F917" s="364"/>
      <c r="G917" s="356"/>
      <c r="H917" s="357"/>
      <c r="I917" s="358"/>
      <c r="J917" s="358"/>
      <c r="K917" s="359"/>
      <c r="L917" s="325"/>
    </row>
    <row r="918" spans="1:12" s="326" customFormat="1" ht="15" hidden="1">
      <c r="A918" s="361"/>
      <c r="B918" s="362"/>
      <c r="C918" s="140"/>
      <c r="D918" s="363"/>
      <c r="E918" s="363"/>
      <c r="F918" s="364"/>
      <c r="G918" s="356"/>
      <c r="H918" s="357"/>
      <c r="I918" s="358"/>
      <c r="J918" s="358"/>
      <c r="K918" s="359"/>
      <c r="L918" s="325"/>
    </row>
    <row r="919" spans="1:12" s="326" customFormat="1" ht="15" hidden="1">
      <c r="A919" s="361"/>
      <c r="B919" s="362"/>
      <c r="C919" s="140"/>
      <c r="D919" s="363"/>
      <c r="E919" s="363"/>
      <c r="F919" s="364"/>
      <c r="G919" s="356"/>
      <c r="H919" s="357"/>
      <c r="I919" s="358"/>
      <c r="J919" s="358"/>
      <c r="K919" s="359"/>
      <c r="L919" s="325"/>
    </row>
    <row r="920" spans="1:12" s="326" customFormat="1" ht="15" hidden="1">
      <c r="A920" s="361"/>
      <c r="B920" s="362"/>
      <c r="C920" s="140"/>
      <c r="D920" s="363"/>
      <c r="E920" s="363"/>
      <c r="F920" s="364"/>
      <c r="G920" s="356"/>
      <c r="H920" s="357"/>
      <c r="I920" s="358"/>
      <c r="J920" s="358"/>
      <c r="K920" s="359"/>
      <c r="L920" s="325"/>
    </row>
    <row r="921" spans="1:12" s="326" customFormat="1" ht="15" hidden="1">
      <c r="A921" s="361"/>
      <c r="B921" s="362"/>
      <c r="C921" s="140"/>
      <c r="D921" s="363"/>
      <c r="E921" s="363"/>
      <c r="F921" s="364"/>
      <c r="G921" s="356"/>
      <c r="H921" s="357"/>
      <c r="I921" s="358"/>
      <c r="J921" s="358"/>
      <c r="K921" s="359"/>
      <c r="L921" s="325"/>
    </row>
    <row r="922" spans="1:12" s="326" customFormat="1" ht="15" hidden="1">
      <c r="A922" s="361"/>
      <c r="B922" s="362"/>
      <c r="C922" s="140"/>
      <c r="D922" s="363"/>
      <c r="E922" s="363"/>
      <c r="F922" s="364"/>
      <c r="G922" s="356"/>
      <c r="H922" s="357"/>
      <c r="I922" s="358"/>
      <c r="J922" s="358"/>
      <c r="K922" s="359"/>
      <c r="L922" s="325"/>
    </row>
    <row r="923" spans="1:12" s="326" customFormat="1" ht="15" hidden="1">
      <c r="A923" s="361"/>
      <c r="B923" s="362"/>
      <c r="C923" s="140"/>
      <c r="D923" s="363"/>
      <c r="E923" s="363"/>
      <c r="F923" s="364"/>
      <c r="G923" s="356"/>
      <c r="H923" s="357"/>
      <c r="I923" s="358"/>
      <c r="J923" s="358"/>
      <c r="K923" s="359"/>
      <c r="L923" s="325"/>
    </row>
    <row r="924" spans="1:12" s="326" customFormat="1" ht="15" hidden="1">
      <c r="A924" s="361"/>
      <c r="B924" s="362"/>
      <c r="C924" s="140"/>
      <c r="D924" s="363"/>
      <c r="E924" s="363"/>
      <c r="F924" s="364"/>
      <c r="G924" s="356"/>
      <c r="H924" s="357"/>
      <c r="I924" s="358"/>
      <c r="J924" s="358"/>
      <c r="K924" s="359"/>
      <c r="L924" s="325"/>
    </row>
    <row r="925" spans="1:12" s="326" customFormat="1" ht="15" hidden="1">
      <c r="A925" s="361"/>
      <c r="B925" s="362"/>
      <c r="C925" s="140"/>
      <c r="D925" s="363"/>
      <c r="E925" s="363"/>
      <c r="F925" s="364"/>
      <c r="G925" s="356"/>
      <c r="H925" s="357"/>
      <c r="I925" s="358"/>
      <c r="J925" s="358"/>
      <c r="K925" s="359"/>
      <c r="L925" s="325"/>
    </row>
    <row r="926" spans="1:12" s="326" customFormat="1" ht="15" hidden="1">
      <c r="A926" s="361"/>
      <c r="B926" s="362"/>
      <c r="C926" s="140"/>
      <c r="D926" s="363"/>
      <c r="E926" s="363"/>
      <c r="F926" s="364"/>
      <c r="G926" s="356"/>
      <c r="H926" s="357"/>
      <c r="I926" s="358"/>
      <c r="J926" s="358"/>
      <c r="K926" s="359"/>
      <c r="L926" s="325"/>
    </row>
    <row r="927" spans="1:12" s="326" customFormat="1" ht="15" hidden="1">
      <c r="A927" s="361"/>
      <c r="B927" s="362"/>
      <c r="C927" s="140"/>
      <c r="D927" s="363"/>
      <c r="E927" s="363"/>
      <c r="F927" s="364"/>
      <c r="G927" s="356"/>
      <c r="H927" s="357"/>
      <c r="I927" s="358"/>
      <c r="J927" s="358"/>
      <c r="K927" s="359"/>
      <c r="L927" s="325"/>
    </row>
    <row r="928" spans="1:12" s="326" customFormat="1" ht="15" hidden="1">
      <c r="A928" s="361"/>
      <c r="B928" s="362"/>
      <c r="C928" s="140"/>
      <c r="D928" s="363"/>
      <c r="E928" s="363"/>
      <c r="F928" s="364"/>
      <c r="G928" s="356"/>
      <c r="H928" s="357"/>
      <c r="I928" s="358"/>
      <c r="J928" s="358"/>
      <c r="K928" s="359"/>
      <c r="L928" s="325"/>
    </row>
    <row r="929" spans="1:12" s="326" customFormat="1" ht="15" hidden="1">
      <c r="A929" s="361"/>
      <c r="B929" s="362"/>
      <c r="C929" s="140"/>
      <c r="D929" s="363"/>
      <c r="E929" s="363"/>
      <c r="F929" s="364"/>
      <c r="G929" s="356"/>
      <c r="H929" s="357"/>
      <c r="I929" s="358"/>
      <c r="J929" s="358"/>
      <c r="K929" s="359"/>
      <c r="L929" s="325"/>
    </row>
    <row r="930" spans="1:12" s="326" customFormat="1" ht="15" hidden="1">
      <c r="A930" s="361"/>
      <c r="B930" s="362"/>
      <c r="C930" s="140"/>
      <c r="D930" s="363"/>
      <c r="E930" s="363"/>
      <c r="F930" s="364"/>
      <c r="G930" s="356"/>
      <c r="H930" s="357"/>
      <c r="I930" s="358"/>
      <c r="J930" s="358"/>
      <c r="K930" s="359"/>
      <c r="L930" s="325"/>
    </row>
    <row r="931" spans="1:12" s="326" customFormat="1" ht="15" hidden="1">
      <c r="A931" s="361"/>
      <c r="B931" s="362"/>
      <c r="C931" s="140"/>
      <c r="D931" s="363"/>
      <c r="E931" s="363"/>
      <c r="F931" s="364"/>
      <c r="G931" s="356"/>
      <c r="H931" s="357"/>
      <c r="I931" s="358"/>
      <c r="J931" s="358"/>
      <c r="K931" s="359"/>
      <c r="L931" s="325"/>
    </row>
    <row r="932" spans="1:12" s="326" customFormat="1" ht="15" hidden="1">
      <c r="A932" s="361"/>
      <c r="B932" s="362"/>
      <c r="C932" s="140"/>
      <c r="D932" s="363"/>
      <c r="E932" s="363"/>
      <c r="F932" s="364"/>
      <c r="G932" s="356"/>
      <c r="H932" s="357"/>
      <c r="I932" s="358"/>
      <c r="J932" s="358"/>
      <c r="K932" s="359"/>
      <c r="L932" s="325"/>
    </row>
    <row r="933" spans="1:12" s="326" customFormat="1" ht="15" hidden="1">
      <c r="A933" s="361"/>
      <c r="B933" s="362"/>
      <c r="C933" s="140"/>
      <c r="D933" s="363"/>
      <c r="E933" s="363"/>
      <c r="F933" s="364"/>
      <c r="G933" s="356"/>
      <c r="H933" s="357"/>
      <c r="I933" s="358"/>
      <c r="J933" s="358"/>
      <c r="K933" s="359"/>
      <c r="L933" s="325"/>
    </row>
    <row r="934" spans="1:12" s="326" customFormat="1" ht="15" hidden="1">
      <c r="A934" s="361"/>
      <c r="B934" s="362"/>
      <c r="C934" s="140"/>
      <c r="D934" s="363"/>
      <c r="E934" s="363"/>
      <c r="F934" s="364"/>
      <c r="G934" s="356"/>
      <c r="H934" s="357"/>
      <c r="I934" s="358"/>
      <c r="J934" s="358"/>
      <c r="K934" s="359"/>
      <c r="L934" s="325"/>
    </row>
    <row r="935" spans="1:12" s="326" customFormat="1" ht="15" hidden="1">
      <c r="A935" s="361"/>
      <c r="B935" s="362"/>
      <c r="C935" s="140"/>
      <c r="D935" s="363"/>
      <c r="E935" s="363"/>
      <c r="F935" s="364"/>
      <c r="G935" s="356"/>
      <c r="H935" s="357"/>
      <c r="I935" s="358"/>
      <c r="J935" s="358"/>
      <c r="K935" s="359"/>
      <c r="L935" s="325"/>
    </row>
    <row r="936" spans="1:12" s="326" customFormat="1" ht="15" hidden="1">
      <c r="A936" s="361"/>
      <c r="B936" s="362"/>
      <c r="C936" s="140"/>
      <c r="D936" s="363"/>
      <c r="E936" s="363"/>
      <c r="F936" s="364"/>
      <c r="G936" s="356"/>
      <c r="H936" s="357"/>
      <c r="I936" s="358"/>
      <c r="J936" s="358"/>
      <c r="K936" s="359"/>
      <c r="L936" s="325"/>
    </row>
    <row r="937" spans="1:12" s="326" customFormat="1" ht="15" hidden="1">
      <c r="A937" s="361"/>
      <c r="B937" s="362"/>
      <c r="C937" s="140"/>
      <c r="D937" s="363"/>
      <c r="E937" s="363"/>
      <c r="F937" s="364"/>
      <c r="G937" s="356"/>
      <c r="H937" s="357"/>
      <c r="I937" s="358"/>
      <c r="J937" s="358"/>
      <c r="K937" s="359"/>
      <c r="L937" s="325"/>
    </row>
    <row r="938" spans="1:12" s="326" customFormat="1" ht="15" hidden="1">
      <c r="A938" s="361"/>
      <c r="B938" s="362"/>
      <c r="C938" s="140"/>
      <c r="D938" s="363"/>
      <c r="E938" s="363"/>
      <c r="F938" s="364"/>
      <c r="G938" s="356"/>
      <c r="H938" s="357"/>
      <c r="I938" s="358"/>
      <c r="J938" s="358"/>
      <c r="K938" s="359"/>
      <c r="L938" s="325"/>
    </row>
    <row r="939" spans="1:12" s="326" customFormat="1" ht="15" hidden="1">
      <c r="A939" s="361"/>
      <c r="B939" s="362"/>
      <c r="C939" s="140"/>
      <c r="D939" s="363"/>
      <c r="E939" s="363"/>
      <c r="F939" s="364"/>
      <c r="G939" s="356"/>
      <c r="H939" s="357"/>
      <c r="I939" s="358"/>
      <c r="J939" s="358"/>
      <c r="K939" s="359"/>
      <c r="L939" s="325"/>
    </row>
    <row r="940" spans="1:12" s="326" customFormat="1" ht="15" hidden="1">
      <c r="A940" s="361"/>
      <c r="B940" s="362"/>
      <c r="C940" s="140"/>
      <c r="D940" s="363"/>
      <c r="E940" s="363"/>
      <c r="F940" s="364"/>
      <c r="G940" s="356"/>
      <c r="H940" s="357"/>
      <c r="I940" s="358"/>
      <c r="J940" s="358"/>
      <c r="K940" s="359"/>
      <c r="L940" s="325"/>
    </row>
    <row r="941" spans="1:12" s="326" customFormat="1" ht="15" hidden="1">
      <c r="A941" s="361"/>
      <c r="B941" s="362"/>
      <c r="C941" s="140"/>
      <c r="D941" s="363"/>
      <c r="E941" s="363"/>
      <c r="F941" s="364"/>
      <c r="G941" s="356"/>
      <c r="H941" s="357"/>
      <c r="I941" s="358"/>
      <c r="J941" s="358"/>
      <c r="K941" s="359"/>
      <c r="L941" s="325"/>
    </row>
    <row r="942" spans="1:12" s="326" customFormat="1" ht="15" hidden="1">
      <c r="A942" s="361"/>
      <c r="B942" s="362"/>
      <c r="C942" s="140"/>
      <c r="D942" s="363"/>
      <c r="E942" s="363"/>
      <c r="F942" s="364"/>
      <c r="G942" s="356"/>
      <c r="H942" s="357"/>
      <c r="I942" s="358"/>
      <c r="J942" s="358"/>
      <c r="K942" s="359"/>
      <c r="L942" s="325"/>
    </row>
    <row r="943" spans="1:12" s="326" customFormat="1" ht="15" hidden="1">
      <c r="A943" s="361"/>
      <c r="B943" s="362"/>
      <c r="C943" s="140"/>
      <c r="D943" s="363"/>
      <c r="E943" s="363"/>
      <c r="F943" s="364"/>
      <c r="G943" s="356"/>
      <c r="H943" s="357"/>
      <c r="I943" s="358"/>
      <c r="J943" s="358"/>
      <c r="K943" s="359"/>
      <c r="L943" s="325"/>
    </row>
    <row r="944" spans="1:12" s="326" customFormat="1" ht="15" hidden="1">
      <c r="A944" s="361"/>
      <c r="B944" s="362"/>
      <c r="C944" s="140"/>
      <c r="D944" s="363"/>
      <c r="E944" s="363"/>
      <c r="F944" s="364"/>
      <c r="G944" s="356"/>
      <c r="H944" s="357"/>
      <c r="I944" s="358"/>
      <c r="J944" s="358"/>
      <c r="K944" s="359"/>
      <c r="L944" s="325"/>
    </row>
    <row r="945" spans="1:12" s="326" customFormat="1" ht="15" hidden="1">
      <c r="A945" s="361"/>
      <c r="B945" s="362"/>
      <c r="C945" s="140"/>
      <c r="D945" s="363"/>
      <c r="E945" s="363"/>
      <c r="F945" s="364"/>
      <c r="G945" s="356"/>
      <c r="H945" s="357"/>
      <c r="I945" s="358"/>
      <c r="J945" s="358"/>
      <c r="K945" s="359"/>
      <c r="L945" s="325"/>
    </row>
    <row r="946" spans="1:12" s="326" customFormat="1" ht="15" hidden="1">
      <c r="A946" s="361"/>
      <c r="B946" s="362"/>
      <c r="C946" s="140"/>
      <c r="D946" s="363"/>
      <c r="E946" s="363"/>
      <c r="F946" s="364"/>
      <c r="G946" s="356"/>
      <c r="H946" s="357"/>
      <c r="I946" s="358"/>
      <c r="J946" s="358"/>
      <c r="K946" s="359"/>
      <c r="L946" s="325"/>
    </row>
    <row r="947" spans="1:12" s="326" customFormat="1" ht="15" hidden="1">
      <c r="A947" s="361"/>
      <c r="B947" s="362"/>
      <c r="C947" s="140"/>
      <c r="D947" s="363"/>
      <c r="E947" s="363"/>
      <c r="F947" s="364"/>
      <c r="G947" s="356"/>
      <c r="H947" s="357"/>
      <c r="I947" s="358"/>
      <c r="J947" s="358"/>
      <c r="K947" s="359"/>
      <c r="L947" s="325"/>
    </row>
    <row r="948" spans="1:12" s="326" customFormat="1" ht="15" hidden="1">
      <c r="A948" s="361"/>
      <c r="B948" s="362"/>
      <c r="C948" s="140"/>
      <c r="D948" s="363"/>
      <c r="E948" s="363"/>
      <c r="F948" s="364"/>
      <c r="G948" s="356"/>
      <c r="H948" s="357"/>
      <c r="I948" s="358"/>
      <c r="J948" s="358"/>
      <c r="K948" s="359"/>
      <c r="L948" s="325"/>
    </row>
    <row r="949" spans="1:12" s="326" customFormat="1" ht="15" hidden="1">
      <c r="A949" s="361"/>
      <c r="B949" s="362"/>
      <c r="C949" s="140"/>
      <c r="D949" s="363"/>
      <c r="E949" s="363"/>
      <c r="F949" s="364"/>
      <c r="G949" s="356"/>
      <c r="H949" s="357"/>
      <c r="I949" s="358"/>
      <c r="J949" s="358"/>
      <c r="K949" s="359"/>
      <c r="L949" s="325"/>
    </row>
    <row r="950" spans="1:12" s="326" customFormat="1" ht="15" hidden="1">
      <c r="A950" s="361"/>
      <c r="B950" s="362"/>
      <c r="C950" s="140"/>
      <c r="D950" s="363"/>
      <c r="E950" s="363"/>
      <c r="F950" s="364"/>
      <c r="G950" s="356"/>
      <c r="H950" s="357"/>
      <c r="I950" s="358"/>
      <c r="J950" s="358"/>
      <c r="K950" s="359"/>
      <c r="L950" s="325"/>
    </row>
    <row r="951" spans="1:12" s="326" customFormat="1" ht="15" hidden="1">
      <c r="A951" s="361"/>
      <c r="B951" s="362"/>
      <c r="C951" s="140"/>
      <c r="D951" s="363"/>
      <c r="E951" s="363"/>
      <c r="F951" s="364"/>
      <c r="G951" s="356"/>
      <c r="H951" s="357"/>
      <c r="I951" s="358"/>
      <c r="J951" s="358"/>
      <c r="K951" s="359"/>
      <c r="L951" s="325"/>
    </row>
    <row r="952" spans="1:12" s="326" customFormat="1" ht="15" hidden="1">
      <c r="A952" s="361"/>
      <c r="B952" s="362"/>
      <c r="C952" s="140"/>
      <c r="D952" s="363"/>
      <c r="E952" s="363"/>
      <c r="F952" s="364"/>
      <c r="G952" s="356"/>
      <c r="H952" s="357"/>
      <c r="I952" s="358"/>
      <c r="J952" s="358"/>
      <c r="K952" s="359"/>
      <c r="L952" s="325"/>
    </row>
    <row r="953" spans="1:12" s="326" customFormat="1" ht="15" hidden="1">
      <c r="A953" s="361"/>
      <c r="B953" s="362"/>
      <c r="C953" s="140"/>
      <c r="D953" s="363"/>
      <c r="E953" s="363"/>
      <c r="F953" s="364"/>
      <c r="G953" s="356"/>
      <c r="H953" s="357"/>
      <c r="I953" s="358"/>
      <c r="J953" s="358"/>
      <c r="K953" s="359"/>
      <c r="L953" s="325"/>
    </row>
    <row r="954" spans="1:12" s="326" customFormat="1" ht="15" hidden="1">
      <c r="A954" s="361"/>
      <c r="B954" s="362"/>
      <c r="C954" s="140"/>
      <c r="D954" s="363"/>
      <c r="E954" s="363"/>
      <c r="F954" s="364"/>
      <c r="G954" s="356"/>
      <c r="H954" s="357"/>
      <c r="I954" s="358"/>
      <c r="J954" s="358"/>
      <c r="K954" s="359"/>
      <c r="L954" s="325"/>
    </row>
    <row r="955" spans="1:12" s="326" customFormat="1" ht="15" hidden="1">
      <c r="A955" s="361"/>
      <c r="B955" s="362"/>
      <c r="C955" s="140"/>
      <c r="D955" s="363"/>
      <c r="E955" s="363"/>
      <c r="F955" s="364"/>
      <c r="G955" s="356"/>
      <c r="H955" s="357"/>
      <c r="I955" s="358"/>
      <c r="J955" s="358"/>
      <c r="K955" s="359"/>
      <c r="L955" s="325"/>
    </row>
    <row r="956" spans="1:12" s="326" customFormat="1" ht="15" hidden="1">
      <c r="A956" s="361"/>
      <c r="B956" s="362"/>
      <c r="C956" s="140"/>
      <c r="D956" s="363"/>
      <c r="E956" s="363"/>
      <c r="F956" s="364"/>
      <c r="G956" s="356"/>
      <c r="H956" s="357"/>
      <c r="I956" s="358"/>
      <c r="J956" s="358"/>
      <c r="K956" s="359"/>
      <c r="L956" s="325"/>
    </row>
    <row r="957" spans="1:12" s="326" customFormat="1" ht="15" hidden="1">
      <c r="A957" s="361"/>
      <c r="B957" s="362"/>
      <c r="C957" s="140"/>
      <c r="D957" s="363"/>
      <c r="E957" s="363"/>
      <c r="F957" s="364"/>
      <c r="G957" s="356"/>
      <c r="H957" s="357"/>
      <c r="I957" s="358"/>
      <c r="J957" s="358"/>
      <c r="K957" s="359"/>
      <c r="L957" s="325"/>
    </row>
    <row r="958" spans="1:12" s="326" customFormat="1" ht="15" hidden="1">
      <c r="A958" s="361"/>
      <c r="B958" s="362"/>
      <c r="C958" s="140"/>
      <c r="D958" s="363"/>
      <c r="E958" s="363"/>
      <c r="F958" s="364"/>
      <c r="G958" s="356"/>
      <c r="H958" s="357"/>
      <c r="I958" s="358"/>
      <c r="J958" s="358"/>
      <c r="K958" s="359"/>
      <c r="L958" s="325"/>
    </row>
    <row r="959" spans="1:12" s="326" customFormat="1" ht="15" hidden="1">
      <c r="A959" s="361"/>
      <c r="B959" s="362"/>
      <c r="C959" s="140"/>
      <c r="D959" s="363"/>
      <c r="E959" s="363"/>
      <c r="F959" s="364"/>
      <c r="G959" s="356"/>
      <c r="H959" s="357"/>
      <c r="I959" s="358"/>
      <c r="J959" s="358"/>
      <c r="K959" s="359"/>
      <c r="L959" s="325"/>
    </row>
    <row r="960" spans="1:12" s="326" customFormat="1" ht="15" hidden="1">
      <c r="A960" s="361"/>
      <c r="B960" s="362"/>
      <c r="C960" s="140"/>
      <c r="D960" s="363"/>
      <c r="E960" s="363"/>
      <c r="F960" s="364"/>
      <c r="G960" s="356"/>
      <c r="H960" s="357"/>
      <c r="I960" s="358"/>
      <c r="J960" s="358"/>
      <c r="K960" s="359"/>
      <c r="L960" s="325"/>
    </row>
    <row r="961" spans="1:12" s="326" customFormat="1" ht="15" hidden="1">
      <c r="A961" s="361"/>
      <c r="B961" s="362"/>
      <c r="C961" s="140"/>
      <c r="D961" s="363"/>
      <c r="E961" s="363"/>
      <c r="F961" s="364"/>
      <c r="G961" s="356"/>
      <c r="H961" s="357"/>
      <c r="I961" s="358"/>
      <c r="J961" s="358"/>
      <c r="K961" s="359"/>
      <c r="L961" s="325"/>
    </row>
    <row r="962" spans="1:12" s="326" customFormat="1" ht="15" hidden="1">
      <c r="A962" s="361"/>
      <c r="B962" s="362"/>
      <c r="C962" s="140"/>
      <c r="D962" s="363"/>
      <c r="E962" s="363"/>
      <c r="F962" s="364"/>
      <c r="G962" s="356"/>
      <c r="H962" s="357"/>
      <c r="I962" s="358"/>
      <c r="J962" s="358"/>
      <c r="K962" s="359"/>
      <c r="L962" s="325"/>
    </row>
    <row r="963" spans="1:12" s="326" customFormat="1" ht="15" hidden="1">
      <c r="A963" s="361"/>
      <c r="B963" s="362"/>
      <c r="C963" s="140"/>
      <c r="D963" s="363"/>
      <c r="E963" s="363"/>
      <c r="F963" s="364"/>
      <c r="G963" s="356"/>
      <c r="H963" s="357"/>
      <c r="I963" s="358"/>
      <c r="J963" s="358"/>
      <c r="K963" s="359"/>
      <c r="L963" s="325"/>
    </row>
    <row r="964" spans="1:12" s="326" customFormat="1" ht="15" hidden="1">
      <c r="A964" s="361"/>
      <c r="B964" s="362"/>
      <c r="C964" s="140"/>
      <c r="D964" s="363"/>
      <c r="E964" s="363"/>
      <c r="F964" s="364"/>
      <c r="G964" s="356"/>
      <c r="H964" s="357"/>
      <c r="I964" s="358"/>
      <c r="J964" s="358"/>
      <c r="K964" s="359"/>
      <c r="L964" s="325"/>
    </row>
    <row r="965" spans="1:12" s="326" customFormat="1" ht="15" hidden="1">
      <c r="A965" s="361"/>
      <c r="B965" s="362"/>
      <c r="C965" s="140"/>
      <c r="D965" s="363"/>
      <c r="E965" s="363"/>
      <c r="F965" s="364"/>
      <c r="G965" s="356"/>
      <c r="H965" s="357"/>
      <c r="I965" s="358"/>
      <c r="J965" s="358"/>
      <c r="K965" s="359"/>
      <c r="L965" s="325"/>
    </row>
    <row r="966" spans="1:12" s="326" customFormat="1" ht="15" hidden="1">
      <c r="A966" s="361"/>
      <c r="B966" s="362"/>
      <c r="C966" s="140"/>
      <c r="D966" s="363"/>
      <c r="E966" s="363"/>
      <c r="F966" s="364"/>
      <c r="G966" s="356"/>
      <c r="H966" s="357"/>
      <c r="I966" s="358"/>
      <c r="J966" s="358"/>
      <c r="K966" s="359"/>
      <c r="L966" s="325"/>
    </row>
    <row r="967" spans="1:12" s="326" customFormat="1" ht="15" hidden="1">
      <c r="A967" s="361"/>
      <c r="B967" s="362"/>
      <c r="C967" s="140"/>
      <c r="D967" s="363"/>
      <c r="E967" s="363"/>
      <c r="F967" s="364"/>
      <c r="G967" s="356"/>
      <c r="H967" s="357"/>
      <c r="I967" s="358"/>
      <c r="J967" s="358"/>
      <c r="K967" s="359"/>
      <c r="L967" s="325"/>
    </row>
    <row r="968" spans="1:12" s="326" customFormat="1" ht="15" hidden="1">
      <c r="A968" s="361"/>
      <c r="B968" s="362"/>
      <c r="C968" s="140"/>
      <c r="D968" s="363"/>
      <c r="E968" s="363"/>
      <c r="F968" s="364"/>
      <c r="G968" s="356"/>
      <c r="H968" s="357"/>
      <c r="I968" s="358"/>
      <c r="J968" s="358"/>
      <c r="K968" s="359"/>
      <c r="L968" s="325"/>
    </row>
    <row r="969" spans="1:12" s="326" customFormat="1" ht="15" hidden="1">
      <c r="A969" s="361"/>
      <c r="B969" s="362"/>
      <c r="C969" s="140"/>
      <c r="D969" s="363"/>
      <c r="E969" s="363"/>
      <c r="F969" s="364"/>
      <c r="G969" s="356"/>
      <c r="H969" s="357"/>
      <c r="I969" s="358"/>
      <c r="J969" s="358"/>
      <c r="K969" s="359"/>
      <c r="L969" s="325"/>
    </row>
    <row r="970" spans="1:12" s="326" customFormat="1" ht="15" hidden="1">
      <c r="A970" s="361"/>
      <c r="B970" s="362"/>
      <c r="C970" s="140"/>
      <c r="D970" s="363"/>
      <c r="E970" s="363"/>
      <c r="F970" s="364"/>
      <c r="G970" s="356"/>
      <c r="H970" s="357"/>
      <c r="I970" s="358"/>
      <c r="J970" s="358"/>
      <c r="K970" s="359"/>
      <c r="L970" s="325"/>
    </row>
    <row r="971" spans="1:12" s="326" customFormat="1" ht="15" hidden="1">
      <c r="A971" s="361"/>
      <c r="B971" s="362"/>
      <c r="C971" s="140"/>
      <c r="D971" s="363"/>
      <c r="E971" s="363"/>
      <c r="F971" s="364"/>
      <c r="G971" s="356"/>
      <c r="H971" s="357"/>
      <c r="I971" s="358"/>
      <c r="J971" s="358"/>
      <c r="K971" s="359"/>
      <c r="L971" s="325"/>
    </row>
    <row r="972" spans="1:12" s="326" customFormat="1" ht="15" hidden="1">
      <c r="A972" s="361"/>
      <c r="B972" s="362"/>
      <c r="C972" s="140"/>
      <c r="D972" s="363"/>
      <c r="E972" s="363"/>
      <c r="F972" s="364"/>
      <c r="G972" s="356"/>
      <c r="H972" s="357"/>
      <c r="I972" s="358"/>
      <c r="J972" s="358"/>
      <c r="K972" s="359"/>
      <c r="L972" s="325"/>
    </row>
    <row r="973" spans="1:12" s="326" customFormat="1" ht="15" hidden="1">
      <c r="A973" s="361"/>
      <c r="B973" s="362"/>
      <c r="C973" s="140"/>
      <c r="D973" s="363"/>
      <c r="E973" s="363"/>
      <c r="F973" s="364"/>
      <c r="G973" s="356"/>
      <c r="H973" s="357"/>
      <c r="I973" s="358"/>
      <c r="J973" s="358"/>
      <c r="K973" s="359"/>
      <c r="L973" s="325"/>
    </row>
    <row r="974" spans="1:12" s="326" customFormat="1" ht="15" hidden="1">
      <c r="A974" s="361"/>
      <c r="B974" s="362"/>
      <c r="C974" s="140"/>
      <c r="D974" s="363"/>
      <c r="E974" s="363"/>
      <c r="F974" s="364"/>
      <c r="G974" s="356"/>
      <c r="H974" s="357"/>
      <c r="I974" s="358"/>
      <c r="J974" s="358"/>
      <c r="K974" s="359"/>
      <c r="L974" s="325"/>
    </row>
    <row r="975" spans="1:12" s="326" customFormat="1" ht="15" hidden="1">
      <c r="A975" s="344"/>
      <c r="B975" s="345"/>
      <c r="C975" s="345"/>
      <c r="D975" s="345"/>
      <c r="E975" s="345"/>
      <c r="F975" s="360"/>
      <c r="G975" s="356"/>
      <c r="H975" s="357"/>
      <c r="I975" s="358"/>
      <c r="J975" s="358"/>
      <c r="K975" s="359"/>
      <c r="L975" s="325"/>
    </row>
    <row r="976" spans="1:12" s="326" customFormat="1" ht="15" hidden="1">
      <c r="A976" s="344"/>
      <c r="B976" s="345"/>
      <c r="C976" s="345"/>
      <c r="D976" s="345"/>
      <c r="E976" s="345"/>
      <c r="F976" s="360"/>
      <c r="G976" s="356"/>
      <c r="H976" s="357"/>
      <c r="I976" s="358"/>
      <c r="J976" s="358"/>
      <c r="K976" s="359"/>
      <c r="L976" s="325"/>
    </row>
    <row r="977" spans="1:12" s="326" customFormat="1" ht="15" hidden="1">
      <c r="A977" s="344"/>
      <c r="B977" s="345"/>
      <c r="C977" s="345"/>
      <c r="D977" s="345"/>
      <c r="E977" s="345"/>
      <c r="F977" s="360"/>
      <c r="G977" s="356"/>
      <c r="H977" s="357"/>
      <c r="I977" s="358"/>
      <c r="J977" s="358"/>
      <c r="K977" s="359"/>
      <c r="L977" s="325"/>
    </row>
    <row r="978" spans="1:12" s="326" customFormat="1" ht="15" hidden="1">
      <c r="A978" s="344"/>
      <c r="B978" s="345"/>
      <c r="C978" s="345"/>
      <c r="D978" s="345"/>
      <c r="E978" s="345"/>
      <c r="F978" s="360"/>
      <c r="G978" s="356"/>
      <c r="H978" s="357"/>
      <c r="I978" s="358"/>
      <c r="J978" s="358"/>
      <c r="K978" s="359"/>
      <c r="L978" s="325"/>
    </row>
    <row r="979" spans="1:12" s="326" customFormat="1" ht="15" hidden="1">
      <c r="A979" s="344"/>
      <c r="B979" s="345"/>
      <c r="C979" s="345"/>
      <c r="D979" s="345"/>
      <c r="E979" s="345"/>
      <c r="F979" s="360"/>
      <c r="G979" s="356"/>
      <c r="H979" s="357"/>
      <c r="I979" s="358"/>
      <c r="J979" s="358"/>
      <c r="K979" s="359"/>
      <c r="L979" s="325"/>
    </row>
    <row r="980" spans="1:12" s="326" customFormat="1" ht="15" hidden="1">
      <c r="A980" s="344"/>
      <c r="B980" s="345"/>
      <c r="C980" s="354"/>
      <c r="D980" s="345"/>
      <c r="E980" s="345"/>
      <c r="F980" s="355"/>
      <c r="G980" s="356"/>
      <c r="H980" s="357"/>
      <c r="I980" s="358"/>
      <c r="J980" s="358"/>
      <c r="K980" s="359"/>
      <c r="L980" s="325"/>
    </row>
    <row r="981" spans="1:12" s="326" customFormat="1" ht="15" hidden="1">
      <c r="A981" s="344"/>
      <c r="B981" s="345"/>
      <c r="C981" s="354"/>
      <c r="D981" s="345"/>
      <c r="E981" s="345"/>
      <c r="F981" s="355"/>
      <c r="G981" s="356"/>
      <c r="H981" s="357"/>
      <c r="I981" s="358"/>
      <c r="J981" s="358"/>
      <c r="K981" s="359"/>
      <c r="L981" s="325"/>
    </row>
    <row r="982" spans="1:12" s="326" customFormat="1" ht="15" hidden="1">
      <c r="A982" s="439" t="s">
        <v>91</v>
      </c>
      <c r="B982" s="440"/>
      <c r="C982" s="440"/>
      <c r="D982" s="440"/>
      <c r="E982" s="440"/>
      <c r="F982" s="440"/>
      <c r="G982" s="440"/>
      <c r="H982" s="440"/>
      <c r="I982" s="440"/>
      <c r="J982" s="440"/>
      <c r="K982" s="611"/>
      <c r="L982" s="325"/>
    </row>
    <row r="983" spans="1:12" s="326" customFormat="1" ht="33.75" customHeight="1" hidden="1">
      <c r="A983" s="532" t="s">
        <v>2</v>
      </c>
      <c r="B983" s="612" t="s">
        <v>70</v>
      </c>
      <c r="C983" s="613">
        <f>C993+C1006+C1010</f>
        <v>109.051</v>
      </c>
      <c r="D983" s="615"/>
      <c r="E983" s="81" t="s">
        <v>34</v>
      </c>
      <c r="F983" s="163">
        <f>SUM(F984:F985)</f>
        <v>3177692652.0899997</v>
      </c>
      <c r="G983" s="210"/>
      <c r="H983" s="342"/>
      <c r="I983" s="163">
        <f>SUM(I984:I985)</f>
        <v>698556727.7299999</v>
      </c>
      <c r="J983" s="333">
        <f aca="true" t="shared" si="0" ref="J983:J1046">100*(I983/F983)</f>
        <v>21.983143249255154</v>
      </c>
      <c r="K983" s="163">
        <f>SUM(K984:K985)</f>
        <v>851140968.62</v>
      </c>
      <c r="L983" s="325">
        <f>F983-K983</f>
        <v>2326551683.47</v>
      </c>
    </row>
    <row r="984" spans="1:12" s="326" customFormat="1" ht="19.5" customHeight="1" hidden="1">
      <c r="A984" s="532"/>
      <c r="B984" s="612"/>
      <c r="C984" s="614"/>
      <c r="D984" s="616"/>
      <c r="E984" s="81" t="s">
        <v>74</v>
      </c>
      <c r="F984" s="163">
        <f>SUM(F1011)</f>
        <v>500000000</v>
      </c>
      <c r="G984" s="211"/>
      <c r="H984" s="342"/>
      <c r="I984" s="163">
        <f>SUM(I1011)</f>
        <v>0</v>
      </c>
      <c r="J984" s="333">
        <f t="shared" si="0"/>
        <v>0</v>
      </c>
      <c r="K984" s="163">
        <f>SUM(K1011)</f>
        <v>0</v>
      </c>
      <c r="L984" s="325">
        <f>F984-K984</f>
        <v>500000000</v>
      </c>
    </row>
    <row r="985" spans="1:12" s="326" customFormat="1" ht="19.5" customHeight="1" hidden="1">
      <c r="A985" s="532"/>
      <c r="B985" s="612"/>
      <c r="C985" s="614"/>
      <c r="D985" s="617"/>
      <c r="E985" s="81" t="s">
        <v>75</v>
      </c>
      <c r="F985" s="163">
        <f>SUM(F986,F993,F1006,F1012,F1022,F1025,F1028,F1031,F1032)</f>
        <v>2677692652.0899997</v>
      </c>
      <c r="G985" s="148"/>
      <c r="I985" s="163">
        <f>SUM(I986,I993,I1006,I1012,I1022,I1025,I1028,I1031,I1032)</f>
        <v>698556727.7299999</v>
      </c>
      <c r="J985" s="333">
        <f t="shared" si="0"/>
        <v>26.088010032994656</v>
      </c>
      <c r="K985" s="163">
        <f>SUM(K986,K993,K1006,K1012,K1022,K1025,K1028,K1031,K1032)</f>
        <v>851140968.62</v>
      </c>
      <c r="L985" s="325">
        <f>F985-K985</f>
        <v>1826551683.4699998</v>
      </c>
    </row>
    <row r="986" spans="1:12" s="326" customFormat="1" ht="102" customHeight="1" hidden="1">
      <c r="A986" s="604" t="s">
        <v>3</v>
      </c>
      <c r="B986" s="338" t="s">
        <v>71</v>
      </c>
      <c r="C986" s="605"/>
      <c r="D986" s="606"/>
      <c r="E986" s="388" t="s">
        <v>75</v>
      </c>
      <c r="F986" s="598">
        <v>1624515498.37</v>
      </c>
      <c r="G986" s="473" t="s">
        <v>588</v>
      </c>
      <c r="I986" s="598">
        <f>585850442.75+54941855.27</f>
        <v>640792298.02</v>
      </c>
      <c r="J986" s="502">
        <f t="shared" si="0"/>
        <v>39.445132943511815</v>
      </c>
      <c r="K986" s="598">
        <v>785370725.7</v>
      </c>
      <c r="L986" s="502">
        <f>F986-K986</f>
        <v>839144772.6699998</v>
      </c>
    </row>
    <row r="987" spans="1:12" s="100" customFormat="1" ht="21" customHeight="1" hidden="1">
      <c r="A987" s="445"/>
      <c r="B987" s="335" t="s">
        <v>23</v>
      </c>
      <c r="C987" s="446"/>
      <c r="D987" s="447"/>
      <c r="E987" s="389"/>
      <c r="F987" s="599"/>
      <c r="G987" s="474"/>
      <c r="H987" s="99"/>
      <c r="I987" s="599"/>
      <c r="J987" s="503" t="e">
        <f t="shared" si="0"/>
        <v>#DIV/0!</v>
      </c>
      <c r="K987" s="599"/>
      <c r="L987" s="503"/>
    </row>
    <row r="988" spans="1:12" s="100" customFormat="1" ht="21" customHeight="1" hidden="1">
      <c r="A988" s="445"/>
      <c r="B988" s="335" t="s">
        <v>131</v>
      </c>
      <c r="C988" s="446"/>
      <c r="D988" s="447"/>
      <c r="E988" s="389"/>
      <c r="F988" s="599"/>
      <c r="G988" s="474"/>
      <c r="H988" s="99"/>
      <c r="I988" s="599"/>
      <c r="J988" s="503" t="e">
        <f t="shared" si="0"/>
        <v>#DIV/0!</v>
      </c>
      <c r="K988" s="599"/>
      <c r="L988" s="503"/>
    </row>
    <row r="989" spans="1:12" s="100" customFormat="1" ht="21.75" customHeight="1" hidden="1">
      <c r="A989" s="445"/>
      <c r="B989" s="335" t="s">
        <v>132</v>
      </c>
      <c r="C989" s="446"/>
      <c r="D989" s="447"/>
      <c r="E989" s="389"/>
      <c r="F989" s="599"/>
      <c r="G989" s="474"/>
      <c r="H989" s="99"/>
      <c r="I989" s="599"/>
      <c r="J989" s="503" t="e">
        <f t="shared" si="0"/>
        <v>#DIV/0!</v>
      </c>
      <c r="K989" s="599"/>
      <c r="L989" s="503"/>
    </row>
    <row r="990" spans="1:12" s="100" customFormat="1" ht="30" customHeight="1" hidden="1">
      <c r="A990" s="445"/>
      <c r="B990" s="97" t="s">
        <v>133</v>
      </c>
      <c r="C990" s="446"/>
      <c r="D990" s="447"/>
      <c r="E990" s="389"/>
      <c r="F990" s="599"/>
      <c r="G990" s="474"/>
      <c r="H990" s="99"/>
      <c r="I990" s="599"/>
      <c r="J990" s="503" t="e">
        <f t="shared" si="0"/>
        <v>#DIV/0!</v>
      </c>
      <c r="K990" s="599"/>
      <c r="L990" s="503"/>
    </row>
    <row r="991" spans="1:12" s="100" customFormat="1" ht="29.25" customHeight="1" hidden="1">
      <c r="A991" s="445"/>
      <c r="B991" s="97" t="s">
        <v>134</v>
      </c>
      <c r="C991" s="446"/>
      <c r="D991" s="447"/>
      <c r="E991" s="389"/>
      <c r="F991" s="599"/>
      <c r="G991" s="474"/>
      <c r="H991" s="99"/>
      <c r="I991" s="599"/>
      <c r="J991" s="503" t="e">
        <f t="shared" si="0"/>
        <v>#DIV/0!</v>
      </c>
      <c r="K991" s="599"/>
      <c r="L991" s="503"/>
    </row>
    <row r="992" spans="1:12" s="100" customFormat="1" ht="20.25" customHeight="1" hidden="1">
      <c r="A992" s="445"/>
      <c r="B992" s="97" t="s">
        <v>135</v>
      </c>
      <c r="C992" s="446"/>
      <c r="D992" s="447"/>
      <c r="E992" s="390"/>
      <c r="F992" s="600"/>
      <c r="G992" s="475"/>
      <c r="H992" s="99"/>
      <c r="I992" s="600"/>
      <c r="J992" s="504" t="e">
        <f t="shared" si="0"/>
        <v>#DIV/0!</v>
      </c>
      <c r="K992" s="600"/>
      <c r="L992" s="504"/>
    </row>
    <row r="993" spans="1:12" s="326" customFormat="1" ht="35.25" customHeight="1" hidden="1">
      <c r="A993" s="80" t="s">
        <v>172</v>
      </c>
      <c r="B993" s="346" t="s">
        <v>126</v>
      </c>
      <c r="C993" s="76">
        <f>SUM(C994:C1005)</f>
        <v>2</v>
      </c>
      <c r="D993" s="103"/>
      <c r="E993" s="104" t="s">
        <v>75</v>
      </c>
      <c r="F993" s="163">
        <f>SUM(F994:F1005)</f>
        <v>244337917.87</v>
      </c>
      <c r="G993" s="348"/>
      <c r="I993" s="163">
        <f>SUM(I994:I1005)</f>
        <v>0</v>
      </c>
      <c r="J993" s="74">
        <f t="shared" si="0"/>
        <v>0</v>
      </c>
      <c r="K993" s="163">
        <f>SUM(K994:K1005)</f>
        <v>0</v>
      </c>
      <c r="L993" s="333">
        <f aca="true" t="shared" si="1" ref="L993:L1021">F993-K993</f>
        <v>244337917.87</v>
      </c>
    </row>
    <row r="994" spans="1:12" s="326" customFormat="1" ht="45" hidden="1">
      <c r="A994" s="84" t="s">
        <v>193</v>
      </c>
      <c r="B994" s="331" t="s">
        <v>182</v>
      </c>
      <c r="C994" s="159">
        <v>2</v>
      </c>
      <c r="D994" s="103"/>
      <c r="E994" s="305" t="s">
        <v>75</v>
      </c>
      <c r="F994" s="219">
        <f>100000000</f>
        <v>100000000</v>
      </c>
      <c r="G994" s="348"/>
      <c r="I994" s="105"/>
      <c r="J994" s="75">
        <f t="shared" si="0"/>
        <v>0</v>
      </c>
      <c r="K994" s="333"/>
      <c r="L994" s="323">
        <f t="shared" si="1"/>
        <v>100000000</v>
      </c>
    </row>
    <row r="995" spans="1:12" s="326" customFormat="1" ht="45" hidden="1">
      <c r="A995" s="84" t="s">
        <v>194</v>
      </c>
      <c r="B995" s="331" t="s">
        <v>183</v>
      </c>
      <c r="C995" s="102"/>
      <c r="D995" s="103"/>
      <c r="E995" s="305" t="s">
        <v>75</v>
      </c>
      <c r="F995" s="219">
        <v>4659630</v>
      </c>
      <c r="G995" s="348" t="s">
        <v>589</v>
      </c>
      <c r="I995" s="105"/>
      <c r="J995" s="75">
        <f t="shared" si="0"/>
        <v>0</v>
      </c>
      <c r="K995" s="333"/>
      <c r="L995" s="323">
        <f t="shared" si="1"/>
        <v>4659630</v>
      </c>
    </row>
    <row r="996" spans="1:12" s="326" customFormat="1" ht="60" hidden="1">
      <c r="A996" s="84" t="s">
        <v>195</v>
      </c>
      <c r="B996" s="220" t="s">
        <v>184</v>
      </c>
      <c r="C996" s="102"/>
      <c r="D996" s="103"/>
      <c r="E996" s="305" t="s">
        <v>75</v>
      </c>
      <c r="F996" s="219">
        <v>22446790</v>
      </c>
      <c r="G996" s="348"/>
      <c r="I996" s="105"/>
      <c r="J996" s="75">
        <f t="shared" si="0"/>
        <v>0</v>
      </c>
      <c r="K996" s="333"/>
      <c r="L996" s="323">
        <f t="shared" si="1"/>
        <v>22446790</v>
      </c>
    </row>
    <row r="997" spans="1:12" s="326" customFormat="1" ht="49.5" customHeight="1" hidden="1">
      <c r="A997" s="84" t="s">
        <v>196</v>
      </c>
      <c r="B997" s="331" t="s">
        <v>185</v>
      </c>
      <c r="C997" s="102"/>
      <c r="D997" s="103"/>
      <c r="E997" s="305" t="s">
        <v>75</v>
      </c>
      <c r="F997" s="219">
        <v>6215460</v>
      </c>
      <c r="G997" s="348"/>
      <c r="I997" s="105"/>
      <c r="J997" s="75">
        <f t="shared" si="0"/>
        <v>0</v>
      </c>
      <c r="K997" s="333"/>
      <c r="L997" s="323">
        <f t="shared" si="1"/>
        <v>6215460</v>
      </c>
    </row>
    <row r="998" spans="1:12" s="326" customFormat="1" ht="45" hidden="1">
      <c r="A998" s="84" t="s">
        <v>197</v>
      </c>
      <c r="B998" s="331" t="s">
        <v>186</v>
      </c>
      <c r="C998" s="102"/>
      <c r="D998" s="103"/>
      <c r="E998" s="305" t="s">
        <v>75</v>
      </c>
      <c r="F998" s="219">
        <v>14918303.07</v>
      </c>
      <c r="G998" s="348"/>
      <c r="I998" s="105"/>
      <c r="J998" s="75">
        <f t="shared" si="0"/>
        <v>0</v>
      </c>
      <c r="K998" s="333"/>
      <c r="L998" s="323">
        <f t="shared" si="1"/>
        <v>14918303.07</v>
      </c>
    </row>
    <row r="999" spans="1:12" s="326" customFormat="1" ht="45" hidden="1">
      <c r="A999" s="84" t="s">
        <v>198</v>
      </c>
      <c r="B999" s="221" t="s">
        <v>187</v>
      </c>
      <c r="C999" s="102"/>
      <c r="D999" s="103"/>
      <c r="E999" s="305" t="s">
        <v>75</v>
      </c>
      <c r="F999" s="219">
        <v>10216480</v>
      </c>
      <c r="G999" s="348"/>
      <c r="I999" s="105"/>
      <c r="J999" s="75">
        <f t="shared" si="0"/>
        <v>0</v>
      </c>
      <c r="K999" s="333"/>
      <c r="L999" s="323">
        <f t="shared" si="1"/>
        <v>10216480</v>
      </c>
    </row>
    <row r="1000" spans="1:12" s="326" customFormat="1" ht="45" hidden="1">
      <c r="A1000" s="84" t="s">
        <v>199</v>
      </c>
      <c r="B1000" s="126" t="s">
        <v>188</v>
      </c>
      <c r="C1000" s="102"/>
      <c r="D1000" s="103"/>
      <c r="E1000" s="305" t="s">
        <v>75</v>
      </c>
      <c r="F1000" s="219">
        <v>13898254.8</v>
      </c>
      <c r="G1000" s="348" t="s">
        <v>591</v>
      </c>
      <c r="I1000" s="105"/>
      <c r="J1000" s="75">
        <f t="shared" si="0"/>
        <v>0</v>
      </c>
      <c r="K1000" s="333"/>
      <c r="L1000" s="323">
        <f t="shared" si="1"/>
        <v>13898254.8</v>
      </c>
    </row>
    <row r="1001" spans="1:12" s="326" customFormat="1" ht="60" hidden="1">
      <c r="A1001" s="84" t="s">
        <v>200</v>
      </c>
      <c r="B1001" s="126" t="s">
        <v>189</v>
      </c>
      <c r="C1001" s="102"/>
      <c r="D1001" s="103"/>
      <c r="E1001" s="305" t="s">
        <v>75</v>
      </c>
      <c r="F1001" s="219">
        <v>11635460</v>
      </c>
      <c r="G1001" s="348"/>
      <c r="I1001" s="105"/>
      <c r="J1001" s="75">
        <f t="shared" si="0"/>
        <v>0</v>
      </c>
      <c r="K1001" s="333"/>
      <c r="L1001" s="323">
        <f t="shared" si="1"/>
        <v>11635460</v>
      </c>
    </row>
    <row r="1002" spans="1:12" s="326" customFormat="1" ht="60" hidden="1">
      <c r="A1002" s="84" t="s">
        <v>201</v>
      </c>
      <c r="B1002" s="126" t="s">
        <v>190</v>
      </c>
      <c r="C1002" s="102"/>
      <c r="D1002" s="103"/>
      <c r="E1002" s="305" t="s">
        <v>75</v>
      </c>
      <c r="F1002" s="219">
        <v>10937530</v>
      </c>
      <c r="G1002" s="348" t="s">
        <v>590</v>
      </c>
      <c r="I1002" s="105"/>
      <c r="J1002" s="75">
        <f t="shared" si="0"/>
        <v>0</v>
      </c>
      <c r="K1002" s="333"/>
      <c r="L1002" s="323">
        <f t="shared" si="1"/>
        <v>10937530</v>
      </c>
    </row>
    <row r="1003" spans="1:12" s="326" customFormat="1" ht="46.5" customHeight="1" hidden="1">
      <c r="A1003" s="84" t="s">
        <v>202</v>
      </c>
      <c r="B1003" s="126" t="s">
        <v>191</v>
      </c>
      <c r="C1003" s="102"/>
      <c r="D1003" s="103"/>
      <c r="E1003" s="305" t="s">
        <v>75</v>
      </c>
      <c r="F1003" s="219">
        <v>11529710</v>
      </c>
      <c r="G1003" s="348"/>
      <c r="I1003" s="105"/>
      <c r="J1003" s="75">
        <f t="shared" si="0"/>
        <v>0</v>
      </c>
      <c r="K1003" s="333"/>
      <c r="L1003" s="323">
        <f t="shared" si="1"/>
        <v>11529710</v>
      </c>
    </row>
    <row r="1004" spans="1:12" s="326" customFormat="1" ht="46.5" customHeight="1" hidden="1">
      <c r="A1004" s="84" t="s">
        <v>203</v>
      </c>
      <c r="B1004" s="126" t="s">
        <v>192</v>
      </c>
      <c r="C1004" s="102"/>
      <c r="D1004" s="103"/>
      <c r="E1004" s="305" t="s">
        <v>75</v>
      </c>
      <c r="F1004" s="219">
        <v>11880300</v>
      </c>
      <c r="G1004" s="348"/>
      <c r="I1004" s="105"/>
      <c r="J1004" s="75">
        <f t="shared" si="0"/>
        <v>0</v>
      </c>
      <c r="K1004" s="333"/>
      <c r="L1004" s="323">
        <f t="shared" si="1"/>
        <v>11880300</v>
      </c>
    </row>
    <row r="1005" spans="1:12" s="326" customFormat="1" ht="24" customHeight="1" hidden="1">
      <c r="A1005" s="84" t="s">
        <v>204</v>
      </c>
      <c r="B1005" s="335" t="s">
        <v>86</v>
      </c>
      <c r="C1005" s="102"/>
      <c r="D1005" s="103"/>
      <c r="E1005" s="305" t="s">
        <v>75</v>
      </c>
      <c r="F1005" s="219">
        <v>26000000</v>
      </c>
      <c r="G1005" s="348"/>
      <c r="I1005" s="105"/>
      <c r="J1005" s="75">
        <f t="shared" si="0"/>
        <v>0</v>
      </c>
      <c r="K1005" s="333"/>
      <c r="L1005" s="323">
        <f t="shared" si="1"/>
        <v>26000000</v>
      </c>
    </row>
    <row r="1006" spans="1:12" s="106" customFormat="1" ht="43.5" customHeight="1" hidden="1">
      <c r="A1006" s="80" t="s">
        <v>173</v>
      </c>
      <c r="B1006" s="101" t="s">
        <v>175</v>
      </c>
      <c r="C1006" s="332">
        <f>SUM(C1007:C1009)</f>
        <v>16.799999999999997</v>
      </c>
      <c r="D1006" s="332">
        <f>SUM(D1008:D1021)</f>
        <v>0</v>
      </c>
      <c r="E1006" s="81" t="s">
        <v>75</v>
      </c>
      <c r="F1006" s="164">
        <f>SUM(F1007:F1009)</f>
        <v>179023680.94</v>
      </c>
      <c r="G1006" s="331"/>
      <c r="I1006" s="164">
        <f>SUM(I1007:I1009)</f>
        <v>7622063.28</v>
      </c>
      <c r="J1006" s="74">
        <f t="shared" si="0"/>
        <v>4.257572651829533</v>
      </c>
      <c r="K1006" s="164">
        <f>SUM(K1007:K1009)</f>
        <v>17140439.92</v>
      </c>
      <c r="L1006" s="333">
        <f t="shared" si="1"/>
        <v>161883241.01999998</v>
      </c>
    </row>
    <row r="1007" spans="1:12" s="326" customFormat="1" ht="45" hidden="1">
      <c r="A1007" s="84" t="s">
        <v>176</v>
      </c>
      <c r="B1007" s="222" t="s">
        <v>162</v>
      </c>
      <c r="C1007" s="304">
        <v>4.8</v>
      </c>
      <c r="D1007" s="305"/>
      <c r="E1007" s="305" t="s">
        <v>75</v>
      </c>
      <c r="F1007" s="125">
        <v>47023680.94</v>
      </c>
      <c r="G1007" s="213" t="s">
        <v>592</v>
      </c>
      <c r="H1007" s="332">
        <f>H1008</f>
        <v>0</v>
      </c>
      <c r="I1007" s="332"/>
      <c r="J1007" s="75">
        <f t="shared" si="0"/>
        <v>0</v>
      </c>
      <c r="K1007" s="304"/>
      <c r="L1007" s="323">
        <f t="shared" si="1"/>
        <v>47023680.94</v>
      </c>
    </row>
    <row r="1008" spans="1:12" s="326" customFormat="1" ht="45" hidden="1">
      <c r="A1008" s="84" t="s">
        <v>177</v>
      </c>
      <c r="B1008" s="222" t="s">
        <v>163</v>
      </c>
      <c r="C1008" s="107">
        <v>5.26</v>
      </c>
      <c r="D1008" s="305"/>
      <c r="E1008" s="305" t="s">
        <v>75</v>
      </c>
      <c r="F1008" s="125">
        <v>60000000</v>
      </c>
      <c r="G1008" s="335" t="s">
        <v>593</v>
      </c>
      <c r="I1008" s="282">
        <v>1243796.7</v>
      </c>
      <c r="J1008" s="75">
        <f t="shared" si="0"/>
        <v>2.0729945</v>
      </c>
      <c r="K1008" s="323">
        <v>5100000</v>
      </c>
      <c r="L1008" s="323">
        <f t="shared" si="1"/>
        <v>54900000</v>
      </c>
    </row>
    <row r="1009" spans="1:12" s="82" customFormat="1" ht="60" hidden="1">
      <c r="A1009" s="84" t="s">
        <v>178</v>
      </c>
      <c r="B1009" s="331" t="s">
        <v>164</v>
      </c>
      <c r="C1009" s="107">
        <v>6.74</v>
      </c>
      <c r="D1009" s="305"/>
      <c r="E1009" s="305" t="s">
        <v>75</v>
      </c>
      <c r="F1009" s="125">
        <v>72000000</v>
      </c>
      <c r="G1009" s="285" t="s">
        <v>594</v>
      </c>
      <c r="I1009" s="282">
        <v>6378266.58</v>
      </c>
      <c r="J1009" s="75">
        <f t="shared" si="0"/>
        <v>8.858703583333332</v>
      </c>
      <c r="K1009" s="323">
        <v>12040439.92</v>
      </c>
      <c r="L1009" s="323">
        <f t="shared" si="1"/>
        <v>59959560.08</v>
      </c>
    </row>
    <row r="1010" spans="1:12" ht="22.5" customHeight="1" hidden="1">
      <c r="A1010" s="481" t="s">
        <v>79</v>
      </c>
      <c r="B1010" s="412" t="s">
        <v>174</v>
      </c>
      <c r="C1010" s="415">
        <f>SUM(C1013:C1021)</f>
        <v>90.251</v>
      </c>
      <c r="D1010" s="403"/>
      <c r="E1010" s="81" t="s">
        <v>34</v>
      </c>
      <c r="F1010" s="163">
        <f>SUM(F1011:F1012)</f>
        <v>1000000000</v>
      </c>
      <c r="G1010" s="601"/>
      <c r="H1010" s="76" t="e">
        <f>SUM(H1011:H1012)</f>
        <v>#REF!</v>
      </c>
      <c r="I1010" s="163">
        <f>SUM(I1011:I1012)</f>
        <v>38680185.66</v>
      </c>
      <c r="J1010" s="333">
        <f t="shared" si="0"/>
        <v>3.868018566</v>
      </c>
      <c r="K1010" s="163">
        <f>SUM(K1011:K1012)</f>
        <v>38105022.230000004</v>
      </c>
      <c r="L1010" s="323">
        <f t="shared" si="1"/>
        <v>961894977.77</v>
      </c>
    </row>
    <row r="1011" spans="1:12" ht="15.75" customHeight="1" hidden="1">
      <c r="A1011" s="482"/>
      <c r="B1011" s="413"/>
      <c r="C1011" s="416"/>
      <c r="D1011" s="404"/>
      <c r="E1011" s="81" t="s">
        <v>74</v>
      </c>
      <c r="F1011" s="163">
        <f>SUM(F1018,F1020,F1021)</f>
        <v>500000000</v>
      </c>
      <c r="G1011" s="602"/>
      <c r="H1011" s="147" t="e">
        <f>SUM(H1013,H1016,H1019,#REF!,#REF!,#REF!,#REF!,#REF!,#REF!,#REF!)</f>
        <v>#REF!</v>
      </c>
      <c r="I1011" s="163">
        <f>SUM(I1018,I1020,I1021)</f>
        <v>0</v>
      </c>
      <c r="J1011" s="333">
        <f t="shared" si="0"/>
        <v>0</v>
      </c>
      <c r="K1011" s="163">
        <f>SUM(K1018,K1020,K1021)</f>
        <v>0</v>
      </c>
      <c r="L1011" s="323">
        <f t="shared" si="1"/>
        <v>500000000</v>
      </c>
    </row>
    <row r="1012" spans="1:12" ht="15.75" customHeight="1" hidden="1">
      <c r="A1012" s="483"/>
      <c r="B1012" s="414"/>
      <c r="C1012" s="417"/>
      <c r="D1012" s="405"/>
      <c r="E1012" s="81" t="s">
        <v>75</v>
      </c>
      <c r="F1012" s="163">
        <f>SUM(F1013,F1014,F1015,F1016,F1019)</f>
        <v>500000000</v>
      </c>
      <c r="G1012" s="603"/>
      <c r="H1012" s="147" t="e">
        <f>SUM(H1014,H1017,H1020,#REF!,#REF!,#REF!,#REF!)</f>
        <v>#REF!</v>
      </c>
      <c r="I1012" s="163">
        <f>SUM(I1013,I1014,I1015,I1016,I1019)</f>
        <v>38680185.66</v>
      </c>
      <c r="J1012" s="333">
        <f t="shared" si="0"/>
        <v>7.736037132</v>
      </c>
      <c r="K1012" s="163">
        <f>SUM(K1013,K1014,K1015,K1016,K1019)</f>
        <v>38105022.230000004</v>
      </c>
      <c r="L1012" s="323">
        <f t="shared" si="1"/>
        <v>461894977.77</v>
      </c>
    </row>
    <row r="1013" spans="1:12" s="326" customFormat="1" ht="45" hidden="1">
      <c r="A1013" s="84" t="s">
        <v>80</v>
      </c>
      <c r="B1013" s="223" t="s">
        <v>165</v>
      </c>
      <c r="C1013" s="109">
        <v>9.05</v>
      </c>
      <c r="D1013" s="305"/>
      <c r="E1013" s="305" t="s">
        <v>75</v>
      </c>
      <c r="F1013" s="125">
        <v>154980000</v>
      </c>
      <c r="G1013" s="97" t="s">
        <v>595</v>
      </c>
      <c r="H1013" s="106"/>
      <c r="I1013" s="75"/>
      <c r="J1013" s="75">
        <f t="shared" si="0"/>
        <v>0</v>
      </c>
      <c r="K1013" s="156">
        <v>12708360</v>
      </c>
      <c r="L1013" s="323">
        <f t="shared" si="1"/>
        <v>142271640</v>
      </c>
    </row>
    <row r="1014" spans="1:12" s="82" customFormat="1" ht="50.25" customHeight="1" hidden="1">
      <c r="A1014" s="84" t="s">
        <v>81</v>
      </c>
      <c r="B1014" s="223" t="s">
        <v>166</v>
      </c>
      <c r="C1014" s="107">
        <v>18.37</v>
      </c>
      <c r="D1014" s="305"/>
      <c r="E1014" s="305" t="s">
        <v>75</v>
      </c>
      <c r="F1014" s="125">
        <v>206052000</v>
      </c>
      <c r="G1014" s="97" t="s">
        <v>596</v>
      </c>
      <c r="I1014" s="323">
        <v>38680185.66</v>
      </c>
      <c r="J1014" s="323">
        <f t="shared" si="0"/>
        <v>18.772050579465375</v>
      </c>
      <c r="K1014" s="282">
        <v>16381101</v>
      </c>
      <c r="L1014" s="323">
        <f t="shared" si="1"/>
        <v>189670899</v>
      </c>
    </row>
    <row r="1015" spans="1:12" s="326" customFormat="1" ht="48" customHeight="1" hidden="1">
      <c r="A1015" s="84" t="s">
        <v>13</v>
      </c>
      <c r="B1015" s="223" t="s">
        <v>167</v>
      </c>
      <c r="C1015" s="107">
        <v>8.57</v>
      </c>
      <c r="D1015" s="305"/>
      <c r="E1015" s="305" t="s">
        <v>75</v>
      </c>
      <c r="F1015" s="125">
        <v>109279530</v>
      </c>
      <c r="G1015" s="348" t="s">
        <v>597</v>
      </c>
      <c r="I1015" s="323"/>
      <c r="J1015" s="323">
        <f t="shared" si="0"/>
        <v>0</v>
      </c>
      <c r="K1015" s="282">
        <v>9015561.23</v>
      </c>
      <c r="L1015" s="323">
        <f t="shared" si="1"/>
        <v>100263968.77</v>
      </c>
    </row>
    <row r="1016" spans="1:12" s="82" customFormat="1" ht="42" customHeight="1" hidden="1">
      <c r="A1016" s="84" t="s">
        <v>14</v>
      </c>
      <c r="B1016" s="223" t="s">
        <v>168</v>
      </c>
      <c r="C1016" s="107">
        <v>1.731</v>
      </c>
      <c r="D1016" s="305"/>
      <c r="E1016" s="305" t="s">
        <v>75</v>
      </c>
      <c r="F1016" s="125">
        <v>25531760</v>
      </c>
      <c r="G1016" s="348" t="s">
        <v>598</v>
      </c>
      <c r="I1016" s="333"/>
      <c r="J1016" s="323">
        <f t="shared" si="0"/>
        <v>0</v>
      </c>
      <c r="K1016" s="284"/>
      <c r="L1016" s="323">
        <f t="shared" si="1"/>
        <v>25531760</v>
      </c>
    </row>
    <row r="1017" spans="1:12" s="326" customFormat="1" ht="21" customHeight="1" hidden="1">
      <c r="A1017" s="418" t="s">
        <v>24</v>
      </c>
      <c r="B1017" s="421" t="s">
        <v>169</v>
      </c>
      <c r="C1017" s="400">
        <v>8.2</v>
      </c>
      <c r="D1017" s="403"/>
      <c r="E1017" s="305" t="s">
        <v>34</v>
      </c>
      <c r="F1017" s="125">
        <f>F1018+F1019</f>
        <v>68880000</v>
      </c>
      <c r="G1017" s="473" t="s">
        <v>599</v>
      </c>
      <c r="I1017" s="125">
        <f>I1018+I1019</f>
        <v>0</v>
      </c>
      <c r="J1017" s="323">
        <f t="shared" si="0"/>
        <v>0</v>
      </c>
      <c r="K1017" s="125">
        <f>K1018+K1019</f>
        <v>0</v>
      </c>
      <c r="L1017" s="323">
        <f t="shared" si="1"/>
        <v>68880000</v>
      </c>
    </row>
    <row r="1018" spans="1:12" s="82" customFormat="1" ht="15" hidden="1">
      <c r="A1018" s="419"/>
      <c r="B1018" s="422"/>
      <c r="C1018" s="401"/>
      <c r="D1018" s="404"/>
      <c r="E1018" s="305" t="s">
        <v>74</v>
      </c>
      <c r="F1018" s="224">
        <v>64723290</v>
      </c>
      <c r="G1018" s="474"/>
      <c r="I1018" s="224"/>
      <c r="J1018" s="333">
        <f t="shared" si="0"/>
        <v>0</v>
      </c>
      <c r="K1018" s="224"/>
      <c r="L1018" s="323">
        <f t="shared" si="1"/>
        <v>64723290</v>
      </c>
    </row>
    <row r="1019" spans="1:12" s="326" customFormat="1" ht="15" hidden="1">
      <c r="A1019" s="420"/>
      <c r="B1019" s="423"/>
      <c r="C1019" s="402"/>
      <c r="D1019" s="405"/>
      <c r="E1019" s="305" t="s">
        <v>75</v>
      </c>
      <c r="F1019" s="125">
        <v>4156710</v>
      </c>
      <c r="G1019" s="475"/>
      <c r="I1019" s="125"/>
      <c r="J1019" s="323">
        <f t="shared" si="0"/>
        <v>0</v>
      </c>
      <c r="K1019" s="125"/>
      <c r="L1019" s="323">
        <f t="shared" si="1"/>
        <v>4156710</v>
      </c>
    </row>
    <row r="1020" spans="1:12" s="326" customFormat="1" ht="47.25" customHeight="1" hidden="1">
      <c r="A1020" s="84" t="s">
        <v>25</v>
      </c>
      <c r="B1020" s="347" t="s">
        <v>170</v>
      </c>
      <c r="C1020" s="107">
        <v>22.63</v>
      </c>
      <c r="D1020" s="305"/>
      <c r="E1020" s="305" t="s">
        <v>74</v>
      </c>
      <c r="F1020" s="224">
        <v>238700000</v>
      </c>
      <c r="G1020" s="285" t="s">
        <v>600</v>
      </c>
      <c r="I1020" s="108"/>
      <c r="J1020" s="323">
        <f t="shared" si="0"/>
        <v>0</v>
      </c>
      <c r="K1020" s="158"/>
      <c r="L1020" s="323">
        <f t="shared" si="1"/>
        <v>238700000</v>
      </c>
    </row>
    <row r="1021" spans="1:12" s="326" customFormat="1" ht="36.75" customHeight="1" hidden="1">
      <c r="A1021" s="84" t="s">
        <v>26</v>
      </c>
      <c r="B1021" s="223" t="s">
        <v>171</v>
      </c>
      <c r="C1021" s="107">
        <v>21.7</v>
      </c>
      <c r="D1021" s="305"/>
      <c r="E1021" s="305" t="s">
        <v>74</v>
      </c>
      <c r="F1021" s="224">
        <v>196576710</v>
      </c>
      <c r="G1021" s="285" t="s">
        <v>601</v>
      </c>
      <c r="I1021" s="323"/>
      <c r="J1021" s="323">
        <f t="shared" si="0"/>
        <v>0</v>
      </c>
      <c r="K1021" s="157"/>
      <c r="L1021" s="323">
        <f t="shared" si="1"/>
        <v>196576710</v>
      </c>
    </row>
    <row r="1022" spans="1:12" s="111" customFormat="1" ht="81.75" customHeight="1" hidden="1">
      <c r="A1022" s="80" t="s">
        <v>87</v>
      </c>
      <c r="B1022" s="101" t="s">
        <v>82</v>
      </c>
      <c r="C1022" s="304"/>
      <c r="D1022" s="305"/>
      <c r="E1022" s="81" t="s">
        <v>75</v>
      </c>
      <c r="F1022" s="160">
        <f>SUM(F1023:F1024)</f>
        <v>37454995</v>
      </c>
      <c r="G1022" s="215"/>
      <c r="H1022" s="110"/>
      <c r="I1022" s="160">
        <f>SUM(I1023:I1024)</f>
        <v>9812938</v>
      </c>
      <c r="J1022" s="74">
        <f t="shared" si="0"/>
        <v>26.199277292654827</v>
      </c>
      <c r="K1022" s="160">
        <f>SUM(K1023:K1024)</f>
        <v>9202938</v>
      </c>
      <c r="L1022" s="323">
        <f aca="true" t="shared" si="2" ref="L1022:L1037">F1022-I1022</f>
        <v>27642057</v>
      </c>
    </row>
    <row r="1023" spans="1:12" s="326" customFormat="1" ht="33.75" customHeight="1" hidden="1">
      <c r="A1023" s="321" t="s">
        <v>7</v>
      </c>
      <c r="B1023" s="306" t="s">
        <v>139</v>
      </c>
      <c r="C1023" s="304"/>
      <c r="D1023" s="305"/>
      <c r="E1023" s="305" t="s">
        <v>75</v>
      </c>
      <c r="F1023" s="161">
        <v>23936196</v>
      </c>
      <c r="G1023" s="215" t="s">
        <v>602</v>
      </c>
      <c r="I1023" s="283">
        <v>6593238</v>
      </c>
      <c r="J1023" s="323">
        <f t="shared" si="0"/>
        <v>27.54505352479567</v>
      </c>
      <c r="K1023" s="323">
        <v>5110000</v>
      </c>
      <c r="L1023" s="323">
        <f t="shared" si="2"/>
        <v>17342958</v>
      </c>
    </row>
    <row r="1024" spans="1:12" s="326" customFormat="1" ht="30" customHeight="1" hidden="1">
      <c r="A1024" s="85" t="s">
        <v>8</v>
      </c>
      <c r="B1024" s="331" t="s">
        <v>140</v>
      </c>
      <c r="C1024" s="304"/>
      <c r="D1024" s="305"/>
      <c r="E1024" s="305" t="s">
        <v>75</v>
      </c>
      <c r="F1024" s="161">
        <v>13518799</v>
      </c>
      <c r="G1024" s="215" t="s">
        <v>603</v>
      </c>
      <c r="I1024" s="217">
        <v>3219700</v>
      </c>
      <c r="J1024" s="323">
        <f t="shared" si="0"/>
        <v>23.81646476140373</v>
      </c>
      <c r="K1024" s="323">
        <v>4092938</v>
      </c>
      <c r="L1024" s="323">
        <f t="shared" si="2"/>
        <v>10299099</v>
      </c>
    </row>
    <row r="1025" spans="1:12" s="106" customFormat="1" ht="39.75" customHeight="1" hidden="1">
      <c r="A1025" s="86" t="s">
        <v>15</v>
      </c>
      <c r="B1025" s="113" t="s">
        <v>209</v>
      </c>
      <c r="C1025" s="304"/>
      <c r="D1025" s="305"/>
      <c r="E1025" s="81" t="s">
        <v>75</v>
      </c>
      <c r="F1025" s="160">
        <f>SUM(F1026:F1027)</f>
        <v>10586392.64</v>
      </c>
      <c r="G1025" s="97"/>
      <c r="I1025" s="160">
        <f>SUM(I1026:I1027)</f>
        <v>0</v>
      </c>
      <c r="J1025" s="74">
        <f t="shared" si="0"/>
        <v>0</v>
      </c>
      <c r="K1025" s="160">
        <f>SUM(K1026:K1027)</f>
        <v>0</v>
      </c>
      <c r="L1025" s="323">
        <f t="shared" si="2"/>
        <v>10586392.64</v>
      </c>
    </row>
    <row r="1026" spans="1:12" s="326" customFormat="1" ht="30" customHeight="1" hidden="1">
      <c r="A1026" s="85" t="s">
        <v>205</v>
      </c>
      <c r="B1026" s="306" t="s">
        <v>211</v>
      </c>
      <c r="C1026" s="304"/>
      <c r="D1026" s="305"/>
      <c r="E1026" s="305" t="s">
        <v>75</v>
      </c>
      <c r="F1026" s="161">
        <v>2343000</v>
      </c>
      <c r="G1026" s="112"/>
      <c r="I1026" s="182"/>
      <c r="J1026" s="323">
        <f t="shared" si="0"/>
        <v>0</v>
      </c>
      <c r="K1026" s="323"/>
      <c r="L1026" s="323">
        <f t="shared" si="2"/>
        <v>2343000</v>
      </c>
    </row>
    <row r="1027" spans="1:12" s="326" customFormat="1" ht="33.75" customHeight="1" hidden="1">
      <c r="A1027" s="321" t="s">
        <v>206</v>
      </c>
      <c r="B1027" s="306" t="s">
        <v>210</v>
      </c>
      <c r="C1027" s="304"/>
      <c r="D1027" s="305"/>
      <c r="E1027" s="305" t="s">
        <v>75</v>
      </c>
      <c r="F1027" s="161">
        <v>8243392.64</v>
      </c>
      <c r="G1027" s="112"/>
      <c r="I1027" s="182"/>
      <c r="J1027" s="323">
        <f t="shared" si="0"/>
        <v>0</v>
      </c>
      <c r="K1027" s="323"/>
      <c r="L1027" s="323">
        <f t="shared" si="2"/>
        <v>8243392.64</v>
      </c>
    </row>
    <row r="1028" spans="1:12" s="106" customFormat="1" ht="42.75" hidden="1">
      <c r="A1028" s="86" t="s">
        <v>16</v>
      </c>
      <c r="B1028" s="114" t="s">
        <v>141</v>
      </c>
      <c r="C1028" s="304"/>
      <c r="D1028" s="305"/>
      <c r="E1028" s="81" t="s">
        <v>75</v>
      </c>
      <c r="F1028" s="160">
        <f>SUM(F1029:F1030)</f>
        <v>10527324.5</v>
      </c>
      <c r="G1028" s="72"/>
      <c r="H1028" s="71">
        <f>SUM(H1029:H1030)</f>
        <v>0</v>
      </c>
      <c r="I1028" s="160">
        <f>SUM(I1029:I1030)</f>
        <v>402400</v>
      </c>
      <c r="J1028" s="74">
        <f t="shared" si="0"/>
        <v>3.822433705734064</v>
      </c>
      <c r="K1028" s="160">
        <f>SUM(K1029:K1030)</f>
        <v>75000</v>
      </c>
      <c r="L1028" s="323">
        <f t="shared" si="2"/>
        <v>10124924.5</v>
      </c>
    </row>
    <row r="1029" spans="1:12" s="326" customFormat="1" ht="42" customHeight="1" hidden="1">
      <c r="A1029" s="85" t="s">
        <v>207</v>
      </c>
      <c r="B1029" s="115" t="s">
        <v>142</v>
      </c>
      <c r="C1029" s="304"/>
      <c r="D1029" s="305"/>
      <c r="E1029" s="305" t="s">
        <v>75</v>
      </c>
      <c r="F1029" s="161">
        <v>10427324.5</v>
      </c>
      <c r="G1029" s="215" t="s">
        <v>604</v>
      </c>
      <c r="I1029" s="282">
        <v>402400</v>
      </c>
      <c r="J1029" s="333">
        <f t="shared" si="0"/>
        <v>3.85909156274939</v>
      </c>
      <c r="K1029" s="323">
        <v>75000</v>
      </c>
      <c r="L1029" s="323">
        <f t="shared" si="2"/>
        <v>10024924.5</v>
      </c>
    </row>
    <row r="1030" spans="1:12" s="326" customFormat="1" ht="21" customHeight="1" hidden="1">
      <c r="A1030" s="85" t="s">
        <v>208</v>
      </c>
      <c r="B1030" s="116" t="s">
        <v>143</v>
      </c>
      <c r="C1030" s="304"/>
      <c r="D1030" s="305"/>
      <c r="E1030" s="305" t="s">
        <v>75</v>
      </c>
      <c r="F1030" s="161">
        <v>100000</v>
      </c>
      <c r="G1030" s="348"/>
      <c r="I1030" s="282"/>
      <c r="J1030" s="333">
        <f t="shared" si="0"/>
        <v>0</v>
      </c>
      <c r="K1030" s="323"/>
      <c r="L1030" s="323">
        <f t="shared" si="2"/>
        <v>100000</v>
      </c>
    </row>
    <row r="1031" spans="1:12" s="326" customFormat="1" ht="39" customHeight="1" hidden="1">
      <c r="A1031" s="152" t="s">
        <v>88</v>
      </c>
      <c r="B1031" s="113" t="s">
        <v>214</v>
      </c>
      <c r="C1031" s="304"/>
      <c r="D1031" s="305"/>
      <c r="E1031" s="81" t="s">
        <v>75</v>
      </c>
      <c r="F1031" s="160">
        <v>1246842.77</v>
      </c>
      <c r="G1031" s="348"/>
      <c r="I1031" s="160">
        <v>1246842.77</v>
      </c>
      <c r="J1031" s="333">
        <f t="shared" si="0"/>
        <v>100</v>
      </c>
      <c r="K1031" s="160">
        <v>1246842.77</v>
      </c>
      <c r="L1031" s="323">
        <f t="shared" si="2"/>
        <v>0</v>
      </c>
    </row>
    <row r="1032" spans="1:12" s="326" customFormat="1" ht="60" customHeight="1" hidden="1">
      <c r="A1032" s="152" t="s">
        <v>127</v>
      </c>
      <c r="B1032" s="114" t="s">
        <v>138</v>
      </c>
      <c r="C1032" s="304"/>
      <c r="D1032" s="305"/>
      <c r="E1032" s="81" t="s">
        <v>75</v>
      </c>
      <c r="F1032" s="160">
        <f>45000000+25000000</f>
        <v>70000000</v>
      </c>
      <c r="G1032" s="348"/>
      <c r="I1032" s="333"/>
      <c r="J1032" s="333">
        <f t="shared" si="0"/>
        <v>0</v>
      </c>
      <c r="K1032" s="333"/>
      <c r="L1032" s="323">
        <f t="shared" si="2"/>
        <v>70000000</v>
      </c>
    </row>
    <row r="1033" spans="1:12" s="326" customFormat="1" ht="40.5" customHeight="1" hidden="1">
      <c r="A1033" s="87">
        <v>2</v>
      </c>
      <c r="B1033" s="119" t="s">
        <v>89</v>
      </c>
      <c r="C1033" s="120"/>
      <c r="D1033" s="121"/>
      <c r="E1033" s="81" t="s">
        <v>75</v>
      </c>
      <c r="F1033" s="160">
        <f>SUM(F1034:F1035)</f>
        <v>250000000</v>
      </c>
      <c r="G1033" s="473"/>
      <c r="I1033" s="71">
        <f>SUM(I1034:I1035)</f>
        <v>66000000</v>
      </c>
      <c r="J1033" s="333">
        <f t="shared" si="0"/>
        <v>26.400000000000002</v>
      </c>
      <c r="K1033" s="71">
        <f>SUM(K1034:K1035)</f>
        <v>66000000</v>
      </c>
      <c r="L1033" s="323">
        <f t="shared" si="2"/>
        <v>184000000</v>
      </c>
    </row>
    <row r="1034" spans="1:12" ht="18.75" customHeight="1" hidden="1">
      <c r="A1034" s="85" t="s">
        <v>1</v>
      </c>
      <c r="B1034" s="117" t="s">
        <v>90</v>
      </c>
      <c r="C1034" s="178"/>
      <c r="D1034" s="121"/>
      <c r="E1034" s="305" t="s">
        <v>75</v>
      </c>
      <c r="F1034" s="161">
        <f>250000000-F1035</f>
        <v>137647776.1</v>
      </c>
      <c r="G1034" s="474"/>
      <c r="J1034" s="323">
        <f t="shared" si="0"/>
        <v>0</v>
      </c>
      <c r="L1034" s="323">
        <f t="shared" si="2"/>
        <v>137647776.1</v>
      </c>
    </row>
    <row r="1035" spans="1:12" ht="19.5" customHeight="1" hidden="1">
      <c r="A1035" s="85" t="s">
        <v>212</v>
      </c>
      <c r="B1035" s="117" t="s">
        <v>213</v>
      </c>
      <c r="C1035" s="179"/>
      <c r="D1035" s="121"/>
      <c r="E1035" s="305" t="s">
        <v>75</v>
      </c>
      <c r="F1035" s="161">
        <v>112352223.9</v>
      </c>
      <c r="G1035" s="475"/>
      <c r="I1035" s="72">
        <v>66000000</v>
      </c>
      <c r="J1035" s="323">
        <f t="shared" si="0"/>
        <v>58.74383052599281</v>
      </c>
      <c r="K1035" s="323">
        <v>66000000</v>
      </c>
      <c r="L1035" s="323">
        <f t="shared" si="2"/>
        <v>46352223.900000006</v>
      </c>
    </row>
    <row r="1036" spans="1:12" ht="51" customHeight="1" hidden="1">
      <c r="A1036" s="86" t="s">
        <v>0</v>
      </c>
      <c r="B1036" s="70" t="s">
        <v>144</v>
      </c>
      <c r="C1036" s="178">
        <f>SUM(C1037:C1092)</f>
        <v>23.862</v>
      </c>
      <c r="D1036" s="121"/>
      <c r="E1036" s="81" t="s">
        <v>75</v>
      </c>
      <c r="F1036" s="225">
        <f>SUM(F1037,F1040,F1043,F1046,F1049,F1052,F1055,F1058,F1070,F1080,F1081,F1082,F1092)+SUM(F1061,F1064,F1067,F1083,F1084,F1085,F1086,F1087,F1073,F1088,F1089,F1091,F1090,F1077)</f>
        <v>516277716.88</v>
      </c>
      <c r="G1036" s="72"/>
      <c r="H1036" s="71" t="e">
        <f>SUM(H1062,H1063,H1064,H1065,H1066,H1067,H1068,H1071,H1072,H1081,#REF!,H1084,H1087,H1073,H1075,H1076,#REF!)+SUM(H1088,H1089,H1090,H1091,#REF!,H1092,#REF!,#REF!,#REF!,#REF!,#REF!,#REF!,#REF!,#REF!)</f>
        <v>#REF!</v>
      </c>
      <c r="I1036" s="225">
        <f>SUM(I1037,I1040,I1043,I1046,I1049,I1052,I1055,I1058,I1070,I1080,I1081,I1082,I1092)+SUM(I1061,I1064,I1067,I1083,I1084,I1085,I1086,I1087,I1073,I1088,I1089,I1091,I1090,I1077)</f>
        <v>72246793.58</v>
      </c>
      <c r="J1036" s="333">
        <f t="shared" si="0"/>
        <v>13.993784976157036</v>
      </c>
      <c r="K1036" s="225">
        <f>SUM(K1037,K1040,K1043,K1046,K1049,K1052,K1055,K1058,K1070,K1080,K1081,K1082,K1092)+SUM(K1061,K1064,K1067,K1083,K1084,K1085,K1086,K1087,K1073,K1088,K1089,K1091,K1090,K1077)</f>
        <v>57772417.510000005</v>
      </c>
      <c r="L1036" s="323">
        <f t="shared" si="2"/>
        <v>444030923.3</v>
      </c>
    </row>
    <row r="1037" spans="1:12" ht="117" customHeight="1" hidden="1">
      <c r="A1037" s="526" t="s">
        <v>247</v>
      </c>
      <c r="B1037" s="116" t="s">
        <v>215</v>
      </c>
      <c r="C1037" s="120">
        <v>3.324</v>
      </c>
      <c r="D1037" s="121">
        <v>50.9</v>
      </c>
      <c r="E1037" s="305" t="s">
        <v>75</v>
      </c>
      <c r="F1037" s="125">
        <f>F1038+F1039</f>
        <v>31833568.66</v>
      </c>
      <c r="G1037" s="216" t="s">
        <v>605</v>
      </c>
      <c r="H1037" s="71"/>
      <c r="I1037" s="181">
        <f>I1038+I1039</f>
        <v>6768686.46</v>
      </c>
      <c r="J1037" s="323">
        <f t="shared" si="0"/>
        <v>21.262732219228354</v>
      </c>
      <c r="K1037" s="125">
        <f>K1038+K1039</f>
        <v>4739719.99</v>
      </c>
      <c r="L1037" s="323">
        <f t="shared" si="2"/>
        <v>25064882.2</v>
      </c>
    </row>
    <row r="1038" spans="1:12" ht="15" hidden="1">
      <c r="A1038" s="527"/>
      <c r="B1038" s="116" t="s">
        <v>95</v>
      </c>
      <c r="C1038" s="120"/>
      <c r="D1038" s="121"/>
      <c r="E1038" s="305" t="s">
        <v>75</v>
      </c>
      <c r="F1038" s="125">
        <v>31203253.05</v>
      </c>
      <c r="G1038" s="216"/>
      <c r="H1038" s="71"/>
      <c r="I1038" s="217">
        <v>6763221.55</v>
      </c>
      <c r="J1038" s="323">
        <f t="shared" si="0"/>
        <v>21.67473224398313</v>
      </c>
      <c r="K1038" s="71">
        <v>4734255.08</v>
      </c>
      <c r="L1038" s="149">
        <f aca="true" t="shared" si="3" ref="L1038:L1101">F1038-K1038</f>
        <v>26468997.97</v>
      </c>
    </row>
    <row r="1039" spans="1:12" ht="15" hidden="1">
      <c r="A1039" s="528"/>
      <c r="B1039" s="116" t="s">
        <v>93</v>
      </c>
      <c r="C1039" s="120"/>
      <c r="D1039" s="121"/>
      <c r="E1039" s="305" t="s">
        <v>75</v>
      </c>
      <c r="F1039" s="125">
        <v>630315.61</v>
      </c>
      <c r="G1039" s="216"/>
      <c r="H1039" s="71"/>
      <c r="I1039" s="217">
        <v>5464.91</v>
      </c>
      <c r="J1039" s="323">
        <f t="shared" si="0"/>
        <v>0.8670116864153181</v>
      </c>
      <c r="K1039" s="71">
        <v>5464.91</v>
      </c>
      <c r="L1039" s="149">
        <f t="shared" si="3"/>
        <v>624850.7</v>
      </c>
    </row>
    <row r="1040" spans="1:12" ht="186.75" customHeight="1" hidden="1">
      <c r="A1040" s="526" t="s">
        <v>248</v>
      </c>
      <c r="B1040" s="116" t="s">
        <v>216</v>
      </c>
      <c r="C1040" s="120">
        <v>1.101</v>
      </c>
      <c r="D1040" s="121">
        <v>49.68</v>
      </c>
      <c r="E1040" s="305" t="s">
        <v>75</v>
      </c>
      <c r="F1040" s="125">
        <f>F1041+F1042</f>
        <v>35731055.2</v>
      </c>
      <c r="G1040" s="216" t="s">
        <v>606</v>
      </c>
      <c r="H1040" s="71"/>
      <c r="I1040" s="181">
        <f>I1041+I1042</f>
        <v>22604599.31</v>
      </c>
      <c r="J1040" s="323">
        <f t="shared" si="0"/>
        <v>63.26317312341785</v>
      </c>
      <c r="K1040" s="125">
        <f>K1041+K1042</f>
        <v>15847476.190000001</v>
      </c>
      <c r="L1040" s="149">
        <f t="shared" si="3"/>
        <v>19883579.01</v>
      </c>
    </row>
    <row r="1041" spans="1:12" ht="15" hidden="1">
      <c r="A1041" s="527"/>
      <c r="B1041" s="116" t="s">
        <v>95</v>
      </c>
      <c r="C1041" s="120"/>
      <c r="D1041" s="121"/>
      <c r="E1041" s="305" t="s">
        <v>75</v>
      </c>
      <c r="F1041" s="125">
        <v>35005000.46</v>
      </c>
      <c r="G1041" s="216"/>
      <c r="H1041" s="71"/>
      <c r="I1041" s="217">
        <v>22523743.75</v>
      </c>
      <c r="J1041" s="323">
        <f t="shared" si="0"/>
        <v>64.34436067423493</v>
      </c>
      <c r="K1041" s="71">
        <v>15766620.63</v>
      </c>
      <c r="L1041" s="149">
        <f t="shared" si="3"/>
        <v>19238379.83</v>
      </c>
    </row>
    <row r="1042" spans="1:12" ht="15" hidden="1">
      <c r="A1042" s="528"/>
      <c r="B1042" s="116" t="s">
        <v>93</v>
      </c>
      <c r="C1042" s="120"/>
      <c r="D1042" s="121"/>
      <c r="E1042" s="305" t="s">
        <v>75</v>
      </c>
      <c r="F1042" s="125">
        <v>726054.74</v>
      </c>
      <c r="G1042" s="216"/>
      <c r="H1042" s="71"/>
      <c r="I1042" s="217">
        <f>65661.04+15194.52</f>
        <v>80855.56</v>
      </c>
      <c r="J1042" s="323">
        <f t="shared" si="0"/>
        <v>11.13628980646831</v>
      </c>
      <c r="K1042" s="71">
        <v>80855.56</v>
      </c>
      <c r="L1042" s="149">
        <f t="shared" si="3"/>
        <v>645199.1799999999</v>
      </c>
    </row>
    <row r="1043" spans="1:12" ht="229.5" customHeight="1" hidden="1">
      <c r="A1043" s="526" t="s">
        <v>98</v>
      </c>
      <c r="B1043" s="116" t="s">
        <v>217</v>
      </c>
      <c r="C1043" s="120">
        <v>0.458</v>
      </c>
      <c r="D1043" s="121">
        <v>51.4</v>
      </c>
      <c r="E1043" s="305" t="s">
        <v>75</v>
      </c>
      <c r="F1043" s="125">
        <f>F1044+F1045</f>
        <v>21707017.49</v>
      </c>
      <c r="G1043" s="216" t="s">
        <v>607</v>
      </c>
      <c r="H1043" s="71"/>
      <c r="I1043" s="181">
        <f>I1044+I1045</f>
        <v>19972912.37</v>
      </c>
      <c r="J1043" s="323">
        <f t="shared" si="0"/>
        <v>92.01131559967247</v>
      </c>
      <c r="K1043" s="125">
        <f>K1044+K1045</f>
        <v>13988095.629999999</v>
      </c>
      <c r="L1043" s="149">
        <f t="shared" si="3"/>
        <v>7718921.859999999</v>
      </c>
    </row>
    <row r="1044" spans="1:12" ht="15" hidden="1">
      <c r="A1044" s="527"/>
      <c r="B1044" s="116" t="s">
        <v>95</v>
      </c>
      <c r="C1044" s="120"/>
      <c r="D1044" s="121"/>
      <c r="E1044" s="305" t="s">
        <v>75</v>
      </c>
      <c r="F1044" s="125">
        <v>21442352.45</v>
      </c>
      <c r="G1044" s="216"/>
      <c r="H1044" s="71"/>
      <c r="I1044" s="217">
        <v>19949389.11</v>
      </c>
      <c r="J1044" s="323">
        <f t="shared" si="0"/>
        <v>93.03731554883569</v>
      </c>
      <c r="K1044" s="71">
        <v>13964572.37</v>
      </c>
      <c r="L1044" s="149">
        <f t="shared" si="3"/>
        <v>7477780.08</v>
      </c>
    </row>
    <row r="1045" spans="1:12" ht="15" hidden="1">
      <c r="A1045" s="528"/>
      <c r="B1045" s="116" t="s">
        <v>93</v>
      </c>
      <c r="C1045" s="120"/>
      <c r="D1045" s="121"/>
      <c r="E1045" s="305" t="s">
        <v>75</v>
      </c>
      <c r="F1045" s="125">
        <v>264665.04</v>
      </c>
      <c r="G1045" s="216"/>
      <c r="H1045" s="71"/>
      <c r="I1045" s="217">
        <f>3700.05+19823.21</f>
        <v>23523.26</v>
      </c>
      <c r="J1045" s="323">
        <f t="shared" si="0"/>
        <v>8.887936238197534</v>
      </c>
      <c r="K1045" s="71">
        <v>23523.26</v>
      </c>
      <c r="L1045" s="149">
        <f t="shared" si="3"/>
        <v>241141.77999999997</v>
      </c>
    </row>
    <row r="1046" spans="1:12" ht="45" hidden="1">
      <c r="A1046" s="526" t="s">
        <v>249</v>
      </c>
      <c r="B1046" s="335" t="s">
        <v>218</v>
      </c>
      <c r="C1046" s="120"/>
      <c r="D1046" s="121"/>
      <c r="E1046" s="305" t="s">
        <v>75</v>
      </c>
      <c r="F1046" s="125">
        <f>F1047+F1048</f>
        <v>30833190</v>
      </c>
      <c r="G1046" s="216"/>
      <c r="H1046" s="71"/>
      <c r="I1046" s="181">
        <f>I1047+I1048</f>
        <v>0</v>
      </c>
      <c r="J1046" s="323">
        <f t="shared" si="0"/>
        <v>0</v>
      </c>
      <c r="K1046" s="125">
        <f>K1047+K1048</f>
        <v>0</v>
      </c>
      <c r="L1046" s="149">
        <f t="shared" si="3"/>
        <v>30833190</v>
      </c>
    </row>
    <row r="1047" spans="1:12" ht="15" hidden="1">
      <c r="A1047" s="527"/>
      <c r="B1047" s="116" t="s">
        <v>95</v>
      </c>
      <c r="C1047" s="120"/>
      <c r="D1047" s="121"/>
      <c r="E1047" s="305" t="s">
        <v>75</v>
      </c>
      <c r="F1047" s="125">
        <v>30000000</v>
      </c>
      <c r="G1047" s="72"/>
      <c r="H1047" s="71"/>
      <c r="I1047" s="218"/>
      <c r="J1047" s="323">
        <f aca="true" t="shared" si="4" ref="J1047:J1093">100*(I1047/F1047)</f>
        <v>0</v>
      </c>
      <c r="K1047" s="71"/>
      <c r="L1047" s="149">
        <f t="shared" si="3"/>
        <v>30000000</v>
      </c>
    </row>
    <row r="1048" spans="1:12" ht="15" hidden="1">
      <c r="A1048" s="528"/>
      <c r="B1048" s="116" t="s">
        <v>93</v>
      </c>
      <c r="C1048" s="120"/>
      <c r="D1048" s="121"/>
      <c r="E1048" s="305" t="s">
        <v>75</v>
      </c>
      <c r="F1048" s="125">
        <v>833190</v>
      </c>
      <c r="G1048" s="72"/>
      <c r="H1048" s="71"/>
      <c r="I1048" s="218"/>
      <c r="J1048" s="323">
        <f t="shared" si="4"/>
        <v>0</v>
      </c>
      <c r="K1048" s="71"/>
      <c r="L1048" s="149">
        <f t="shared" si="3"/>
        <v>833190</v>
      </c>
    </row>
    <row r="1049" spans="1:12" ht="60" hidden="1">
      <c r="A1049" s="526" t="s">
        <v>250</v>
      </c>
      <c r="B1049" s="335" t="s">
        <v>219</v>
      </c>
      <c r="C1049" s="120"/>
      <c r="D1049" s="121"/>
      <c r="E1049" s="305" t="s">
        <v>75</v>
      </c>
      <c r="F1049" s="125">
        <f>F1050+F1051</f>
        <v>66105000</v>
      </c>
      <c r="G1049" s="72"/>
      <c r="H1049" s="71"/>
      <c r="I1049" s="181">
        <f>I1050+I1051</f>
        <v>0</v>
      </c>
      <c r="J1049" s="323">
        <f t="shared" si="4"/>
        <v>0</v>
      </c>
      <c r="K1049" s="125">
        <f>K1050+K1051</f>
        <v>0</v>
      </c>
      <c r="L1049" s="149">
        <f t="shared" si="3"/>
        <v>66105000</v>
      </c>
    </row>
    <row r="1050" spans="1:12" ht="15" hidden="1">
      <c r="A1050" s="527"/>
      <c r="B1050" s="116" t="s">
        <v>95</v>
      </c>
      <c r="C1050" s="120"/>
      <c r="D1050" s="121"/>
      <c r="E1050" s="305" t="s">
        <v>75</v>
      </c>
      <c r="F1050" s="125">
        <f>145000000-80000000</f>
        <v>65000000</v>
      </c>
      <c r="G1050" s="72"/>
      <c r="H1050" s="71"/>
      <c r="I1050" s="218"/>
      <c r="J1050" s="323">
        <f t="shared" si="4"/>
        <v>0</v>
      </c>
      <c r="K1050" s="71"/>
      <c r="L1050" s="149">
        <f t="shared" si="3"/>
        <v>65000000</v>
      </c>
    </row>
    <row r="1051" spans="1:12" ht="15" hidden="1">
      <c r="A1051" s="528"/>
      <c r="B1051" s="226" t="s">
        <v>93</v>
      </c>
      <c r="C1051" s="120"/>
      <c r="D1051" s="121"/>
      <c r="E1051" s="305" t="s">
        <v>75</v>
      </c>
      <c r="F1051" s="125">
        <v>1105000</v>
      </c>
      <c r="G1051" s="72"/>
      <c r="H1051" s="71"/>
      <c r="I1051" s="218"/>
      <c r="J1051" s="323">
        <f t="shared" si="4"/>
        <v>0</v>
      </c>
      <c r="K1051" s="71"/>
      <c r="L1051" s="149">
        <f t="shared" si="3"/>
        <v>1105000</v>
      </c>
    </row>
    <row r="1052" spans="1:12" ht="30" hidden="1">
      <c r="A1052" s="526" t="s">
        <v>251</v>
      </c>
      <c r="B1052" s="331" t="s">
        <v>220</v>
      </c>
      <c r="C1052" s="120"/>
      <c r="D1052" s="121"/>
      <c r="E1052" s="305" t="s">
        <v>75</v>
      </c>
      <c r="F1052" s="125">
        <f>F1053+F1054</f>
        <v>61870550</v>
      </c>
      <c r="G1052" s="72"/>
      <c r="H1052" s="71"/>
      <c r="I1052" s="181">
        <f>I1053+I1054</f>
        <v>700000</v>
      </c>
      <c r="J1052" s="323">
        <f t="shared" si="4"/>
        <v>1.131394500291334</v>
      </c>
      <c r="K1052" s="125">
        <f>K1053+K1054</f>
        <v>420000</v>
      </c>
      <c r="L1052" s="149">
        <f t="shared" si="3"/>
        <v>61450550</v>
      </c>
    </row>
    <row r="1053" spans="1:12" ht="15" hidden="1">
      <c r="A1053" s="527"/>
      <c r="B1053" s="116" t="s">
        <v>95</v>
      </c>
      <c r="C1053" s="120"/>
      <c r="D1053" s="121"/>
      <c r="E1053" s="305" t="s">
        <v>75</v>
      </c>
      <c r="F1053" s="125">
        <v>60000000</v>
      </c>
      <c r="G1053" s="72"/>
      <c r="H1053" s="71"/>
      <c r="I1053" s="218"/>
      <c r="J1053" s="323">
        <f t="shared" si="4"/>
        <v>0</v>
      </c>
      <c r="K1053" s="71"/>
      <c r="L1053" s="149">
        <f t="shared" si="3"/>
        <v>60000000</v>
      </c>
    </row>
    <row r="1054" spans="1:12" ht="15" hidden="1">
      <c r="A1054" s="528"/>
      <c r="B1054" s="226" t="s">
        <v>93</v>
      </c>
      <c r="C1054" s="120"/>
      <c r="D1054" s="121"/>
      <c r="E1054" s="305" t="s">
        <v>75</v>
      </c>
      <c r="F1054" s="125">
        <v>1870550</v>
      </c>
      <c r="G1054" s="72" t="s">
        <v>634</v>
      </c>
      <c r="H1054" s="71"/>
      <c r="I1054" s="217">
        <v>700000</v>
      </c>
      <c r="J1054" s="323">
        <f t="shared" si="4"/>
        <v>37.42214856592981</v>
      </c>
      <c r="K1054" s="71">
        <v>420000</v>
      </c>
      <c r="L1054" s="149">
        <f t="shared" si="3"/>
        <v>1450550</v>
      </c>
    </row>
    <row r="1055" spans="1:12" ht="45" hidden="1">
      <c r="A1055" s="526" t="s">
        <v>252</v>
      </c>
      <c r="B1055" s="331" t="s">
        <v>221</v>
      </c>
      <c r="C1055" s="120"/>
      <c r="D1055" s="121"/>
      <c r="E1055" s="305" t="s">
        <v>75</v>
      </c>
      <c r="F1055" s="125">
        <f>F1056+F1057</f>
        <v>9430570.41</v>
      </c>
      <c r="G1055" s="72"/>
      <c r="H1055" s="71"/>
      <c r="I1055" s="181">
        <f>I1056+I1057</f>
        <v>300000</v>
      </c>
      <c r="J1055" s="323">
        <f t="shared" si="4"/>
        <v>3.1811437374125924</v>
      </c>
      <c r="K1055" s="125">
        <f>K1056+K1057</f>
        <v>300000</v>
      </c>
      <c r="L1055" s="149">
        <f t="shared" si="3"/>
        <v>9130570.41</v>
      </c>
    </row>
    <row r="1056" spans="1:12" ht="15" hidden="1">
      <c r="A1056" s="527"/>
      <c r="B1056" s="116" t="s">
        <v>95</v>
      </c>
      <c r="C1056" s="120"/>
      <c r="D1056" s="121"/>
      <c r="E1056" s="305" t="s">
        <v>75</v>
      </c>
      <c r="F1056" s="125">
        <v>8900000</v>
      </c>
      <c r="G1056" s="72"/>
      <c r="H1056" s="71"/>
      <c r="I1056" s="218"/>
      <c r="J1056" s="323">
        <f t="shared" si="4"/>
        <v>0</v>
      </c>
      <c r="K1056" s="71"/>
      <c r="L1056" s="149">
        <f t="shared" si="3"/>
        <v>8900000</v>
      </c>
    </row>
    <row r="1057" spans="1:12" ht="15" hidden="1">
      <c r="A1057" s="528"/>
      <c r="B1057" s="116" t="s">
        <v>93</v>
      </c>
      <c r="C1057" s="120"/>
      <c r="D1057" s="121"/>
      <c r="E1057" s="305" t="s">
        <v>75</v>
      </c>
      <c r="F1057" s="125">
        <v>530570.41</v>
      </c>
      <c r="G1057" s="72" t="s">
        <v>637</v>
      </c>
      <c r="H1057" s="71"/>
      <c r="I1057" s="217">
        <v>300000</v>
      </c>
      <c r="J1057" s="323">
        <f t="shared" si="4"/>
        <v>56.542919534468574</v>
      </c>
      <c r="K1057" s="71">
        <v>300000</v>
      </c>
      <c r="L1057" s="149">
        <f t="shared" si="3"/>
        <v>230570.41000000003</v>
      </c>
    </row>
    <row r="1058" spans="1:12" ht="128.25" customHeight="1" hidden="1">
      <c r="A1058" s="526" t="s">
        <v>253</v>
      </c>
      <c r="B1058" s="331" t="s">
        <v>222</v>
      </c>
      <c r="C1058" s="120">
        <v>0.417</v>
      </c>
      <c r="D1058" s="121">
        <v>30.95</v>
      </c>
      <c r="E1058" s="305" t="s">
        <v>75</v>
      </c>
      <c r="F1058" s="125">
        <f>F1059+F1060</f>
        <v>32309959.65</v>
      </c>
      <c r="G1058" s="215" t="s">
        <v>608</v>
      </c>
      <c r="H1058" s="71"/>
      <c r="I1058" s="181">
        <f>I1059+I1060</f>
        <v>19370595.44</v>
      </c>
      <c r="J1058" s="323">
        <f t="shared" si="4"/>
        <v>59.952397495488675</v>
      </c>
      <c r="K1058" s="125">
        <f>K1059+K1060</f>
        <v>19906378.36</v>
      </c>
      <c r="L1058" s="149">
        <f t="shared" si="3"/>
        <v>12403581.29</v>
      </c>
    </row>
    <row r="1059" spans="1:12" ht="15" hidden="1">
      <c r="A1059" s="527"/>
      <c r="B1059" s="116" t="s">
        <v>95</v>
      </c>
      <c r="C1059" s="120"/>
      <c r="D1059" s="121"/>
      <c r="E1059" s="305" t="s">
        <v>75</v>
      </c>
      <c r="F1059" s="125">
        <v>31278230</v>
      </c>
      <c r="G1059" s="72"/>
      <c r="H1059" s="71"/>
      <c r="I1059" s="217">
        <v>19236534.87</v>
      </c>
      <c r="J1059" s="323">
        <f t="shared" si="4"/>
        <v>61.501353721102504</v>
      </c>
      <c r="K1059" s="71">
        <v>19772317.79</v>
      </c>
      <c r="L1059" s="149">
        <f t="shared" si="3"/>
        <v>11505912.21</v>
      </c>
    </row>
    <row r="1060" spans="1:12" ht="15" hidden="1">
      <c r="A1060" s="528"/>
      <c r="B1060" s="116" t="s">
        <v>93</v>
      </c>
      <c r="C1060" s="120"/>
      <c r="D1060" s="121"/>
      <c r="E1060" s="305" t="s">
        <v>75</v>
      </c>
      <c r="F1060" s="125">
        <v>1031729.65</v>
      </c>
      <c r="G1060" s="72"/>
      <c r="H1060" s="71"/>
      <c r="I1060" s="217">
        <f>53086.05+80974.52</f>
        <v>134060.57</v>
      </c>
      <c r="J1060" s="323">
        <f t="shared" si="4"/>
        <v>12.993769249531601</v>
      </c>
      <c r="K1060" s="71">
        <v>134060.57</v>
      </c>
      <c r="L1060" s="149">
        <f t="shared" si="3"/>
        <v>897669.0800000001</v>
      </c>
    </row>
    <row r="1061" spans="1:12" ht="45" hidden="1">
      <c r="A1061" s="526" t="s">
        <v>254</v>
      </c>
      <c r="B1061" s="287" t="s">
        <v>226</v>
      </c>
      <c r="C1061" s="120">
        <v>4.9</v>
      </c>
      <c r="D1061" s="121"/>
      <c r="E1061" s="305" t="s">
        <v>75</v>
      </c>
      <c r="F1061" s="125">
        <f>F1062+F1063</f>
        <v>7579901.66</v>
      </c>
      <c r="G1061" s="72"/>
      <c r="H1061" s="71"/>
      <c r="I1061" s="125">
        <f>I1062+I1063</f>
        <v>0</v>
      </c>
      <c r="J1061" s="323">
        <f t="shared" si="4"/>
        <v>0</v>
      </c>
      <c r="K1061" s="125">
        <f>K1062+K1063</f>
        <v>0</v>
      </c>
      <c r="L1061" s="149">
        <f t="shared" si="3"/>
        <v>7579901.66</v>
      </c>
    </row>
    <row r="1062" spans="1:12" ht="15" hidden="1">
      <c r="A1062" s="527"/>
      <c r="B1062" s="116" t="s">
        <v>95</v>
      </c>
      <c r="C1062" s="120"/>
      <c r="D1062" s="121"/>
      <c r="E1062" s="305" t="s">
        <v>75</v>
      </c>
      <c r="F1062" s="125">
        <v>7479901.66</v>
      </c>
      <c r="G1062" s="335"/>
      <c r="I1062" s="72"/>
      <c r="J1062" s="323">
        <f t="shared" si="4"/>
        <v>0</v>
      </c>
      <c r="L1062" s="149">
        <f t="shared" si="3"/>
        <v>7479901.66</v>
      </c>
    </row>
    <row r="1063" spans="1:12" ht="15" hidden="1">
      <c r="A1063" s="528"/>
      <c r="B1063" s="116" t="s">
        <v>93</v>
      </c>
      <c r="C1063" s="120"/>
      <c r="D1063" s="121"/>
      <c r="E1063" s="305" t="s">
        <v>75</v>
      </c>
      <c r="F1063" s="125">
        <f>100000</f>
        <v>100000</v>
      </c>
      <c r="G1063" s="335"/>
      <c r="I1063" s="72"/>
      <c r="J1063" s="323">
        <f t="shared" si="4"/>
        <v>0</v>
      </c>
      <c r="L1063" s="149">
        <f t="shared" si="3"/>
        <v>100000</v>
      </c>
    </row>
    <row r="1064" spans="1:12" ht="45" hidden="1">
      <c r="A1064" s="526" t="s">
        <v>255</v>
      </c>
      <c r="B1064" s="287" t="s">
        <v>227</v>
      </c>
      <c r="C1064" s="120">
        <v>3.804</v>
      </c>
      <c r="D1064" s="121"/>
      <c r="E1064" s="305" t="s">
        <v>75</v>
      </c>
      <c r="F1064" s="125">
        <f>F1065+F1066</f>
        <v>11449806.69</v>
      </c>
      <c r="G1064" s="335"/>
      <c r="I1064" s="125">
        <f>I1065+I1066</f>
        <v>0</v>
      </c>
      <c r="J1064" s="323">
        <f t="shared" si="4"/>
        <v>0</v>
      </c>
      <c r="K1064" s="125">
        <f>K1065+K1066</f>
        <v>0</v>
      </c>
      <c r="L1064" s="149">
        <f t="shared" si="3"/>
        <v>11449806.69</v>
      </c>
    </row>
    <row r="1065" spans="1:12" ht="15" hidden="1">
      <c r="A1065" s="527"/>
      <c r="B1065" s="116" t="s">
        <v>95</v>
      </c>
      <c r="C1065" s="120"/>
      <c r="D1065" s="121"/>
      <c r="E1065" s="305" t="s">
        <v>75</v>
      </c>
      <c r="F1065" s="125">
        <f>12484787.36-1134980.67</f>
        <v>11349806.69</v>
      </c>
      <c r="G1065" s="335"/>
      <c r="J1065" s="323">
        <f t="shared" si="4"/>
        <v>0</v>
      </c>
      <c r="L1065" s="149">
        <f t="shared" si="3"/>
        <v>11349806.69</v>
      </c>
    </row>
    <row r="1066" spans="1:12" ht="15" hidden="1">
      <c r="A1066" s="528"/>
      <c r="B1066" s="116" t="s">
        <v>93</v>
      </c>
      <c r="C1066" s="123"/>
      <c r="D1066" s="124"/>
      <c r="E1066" s="305" t="s">
        <v>75</v>
      </c>
      <c r="F1066" s="125">
        <f>100000</f>
        <v>100000</v>
      </c>
      <c r="G1066" s="335"/>
      <c r="I1066" s="72"/>
      <c r="J1066" s="323">
        <f t="shared" si="4"/>
        <v>0</v>
      </c>
      <c r="L1066" s="149">
        <f t="shared" si="3"/>
        <v>100000</v>
      </c>
    </row>
    <row r="1067" spans="1:12" ht="60" hidden="1">
      <c r="A1067" s="526" t="s">
        <v>256</v>
      </c>
      <c r="B1067" s="227" t="s">
        <v>228</v>
      </c>
      <c r="C1067" s="304">
        <v>4.455</v>
      </c>
      <c r="D1067" s="305"/>
      <c r="E1067" s="305" t="s">
        <v>75</v>
      </c>
      <c r="F1067" s="125">
        <f>F1068+F1069</f>
        <v>3820040.12</v>
      </c>
      <c r="G1067" s="335"/>
      <c r="I1067" s="125">
        <f>I1068+I1069</f>
        <v>0</v>
      </c>
      <c r="J1067" s="323">
        <f t="shared" si="4"/>
        <v>0</v>
      </c>
      <c r="K1067" s="125">
        <f>K1068+K1069</f>
        <v>0</v>
      </c>
      <c r="L1067" s="149">
        <f t="shared" si="3"/>
        <v>3820040.12</v>
      </c>
    </row>
    <row r="1068" spans="1:12" ht="15" hidden="1">
      <c r="A1068" s="527"/>
      <c r="B1068" s="116" t="s">
        <v>95</v>
      </c>
      <c r="C1068" s="304"/>
      <c r="D1068" s="305"/>
      <c r="E1068" s="305" t="s">
        <v>75</v>
      </c>
      <c r="F1068" s="125">
        <f>4092044.13-372004.01</f>
        <v>3720040.12</v>
      </c>
      <c r="G1068" s="181"/>
      <c r="H1068" s="125"/>
      <c r="I1068" s="122"/>
      <c r="J1068" s="323">
        <f t="shared" si="4"/>
        <v>0</v>
      </c>
      <c r="K1068" s="122"/>
      <c r="L1068" s="149">
        <f t="shared" si="3"/>
        <v>3720040.12</v>
      </c>
    </row>
    <row r="1069" spans="1:12" ht="15" hidden="1">
      <c r="A1069" s="528"/>
      <c r="B1069" s="116" t="s">
        <v>93</v>
      </c>
      <c r="C1069" s="304"/>
      <c r="D1069" s="305"/>
      <c r="E1069" s="305" t="s">
        <v>75</v>
      </c>
      <c r="F1069" s="125">
        <f>100000</f>
        <v>100000</v>
      </c>
      <c r="G1069" s="181"/>
      <c r="I1069" s="72"/>
      <c r="J1069" s="323">
        <f t="shared" si="4"/>
        <v>0</v>
      </c>
      <c r="L1069" s="149">
        <f t="shared" si="3"/>
        <v>100000</v>
      </c>
    </row>
    <row r="1070" spans="1:12" ht="45" hidden="1">
      <c r="A1070" s="526" t="s">
        <v>257</v>
      </c>
      <c r="B1070" s="335" t="s">
        <v>229</v>
      </c>
      <c r="C1070" s="304"/>
      <c r="D1070" s="305"/>
      <c r="E1070" s="305" t="s">
        <v>75</v>
      </c>
      <c r="F1070" s="125">
        <f>F1071+F1072</f>
        <v>5050000</v>
      </c>
      <c r="G1070" s="181"/>
      <c r="I1070" s="125">
        <f>I1071+I1072</f>
        <v>0</v>
      </c>
      <c r="J1070" s="323">
        <f t="shared" si="4"/>
        <v>0</v>
      </c>
      <c r="K1070" s="125">
        <f>K1071+K1072</f>
        <v>40747.34</v>
      </c>
      <c r="L1070" s="149">
        <f t="shared" si="3"/>
        <v>5009252.66</v>
      </c>
    </row>
    <row r="1071" spans="1:12" ht="19.5" customHeight="1" hidden="1">
      <c r="A1071" s="527"/>
      <c r="B1071" s="116" t="s">
        <v>94</v>
      </c>
      <c r="C1071" s="304"/>
      <c r="D1071" s="305"/>
      <c r="E1071" s="305" t="s">
        <v>75</v>
      </c>
      <c r="F1071" s="125">
        <f>14350000-10350000</f>
        <v>4000000</v>
      </c>
      <c r="G1071" s="287"/>
      <c r="I1071" s="72"/>
      <c r="J1071" s="323">
        <f t="shared" si="4"/>
        <v>0</v>
      </c>
      <c r="K1071" s="323">
        <v>40747.34</v>
      </c>
      <c r="L1071" s="149">
        <f t="shared" si="3"/>
        <v>3959252.66</v>
      </c>
    </row>
    <row r="1072" spans="1:12" ht="30" hidden="1">
      <c r="A1072" s="528"/>
      <c r="B1072" s="226" t="s">
        <v>93</v>
      </c>
      <c r="C1072" s="304"/>
      <c r="D1072" s="305"/>
      <c r="E1072" s="305" t="s">
        <v>75</v>
      </c>
      <c r="F1072" s="125">
        <v>1050000</v>
      </c>
      <c r="G1072" s="287" t="s">
        <v>610</v>
      </c>
      <c r="I1072" s="72"/>
      <c r="J1072" s="323">
        <f t="shared" si="4"/>
        <v>0</v>
      </c>
      <c r="L1072" s="149">
        <f t="shared" si="3"/>
        <v>1050000</v>
      </c>
    </row>
    <row r="1073" spans="1:12" ht="45" hidden="1">
      <c r="A1073" s="526" t="s">
        <v>99</v>
      </c>
      <c r="B1073" s="212" t="s">
        <v>238</v>
      </c>
      <c r="C1073" s="304">
        <v>5</v>
      </c>
      <c r="D1073" s="305"/>
      <c r="E1073" s="305" t="s">
        <v>75</v>
      </c>
      <c r="F1073" s="125">
        <f>F1074+F1075+F1076</f>
        <v>150046807</v>
      </c>
      <c r="I1073" s="125">
        <f>I1074+I1075+I1076</f>
        <v>0</v>
      </c>
      <c r="J1073" s="323">
        <f t="shared" si="4"/>
        <v>0</v>
      </c>
      <c r="K1073" s="125">
        <f>K1074+K1075+K1076</f>
        <v>0</v>
      </c>
      <c r="L1073" s="149">
        <f t="shared" si="3"/>
        <v>150046807</v>
      </c>
    </row>
    <row r="1074" spans="1:12" ht="30" hidden="1">
      <c r="A1074" s="527"/>
      <c r="B1074" s="227" t="s">
        <v>95</v>
      </c>
      <c r="C1074" s="304"/>
      <c r="D1074" s="305"/>
      <c r="E1074" s="305" t="s">
        <v>75</v>
      </c>
      <c r="F1074" s="125">
        <v>144628046</v>
      </c>
      <c r="G1074" s="348" t="s">
        <v>615</v>
      </c>
      <c r="I1074" s="72"/>
      <c r="J1074" s="323">
        <f t="shared" si="4"/>
        <v>0</v>
      </c>
      <c r="L1074" s="149">
        <f t="shared" si="3"/>
        <v>144628046</v>
      </c>
    </row>
    <row r="1075" spans="1:12" ht="15" hidden="1">
      <c r="A1075" s="527"/>
      <c r="B1075" s="228" t="s">
        <v>94</v>
      </c>
      <c r="C1075" s="304"/>
      <c r="D1075" s="305"/>
      <c r="E1075" s="305" t="s">
        <v>75</v>
      </c>
      <c r="F1075" s="125">
        <v>1700000</v>
      </c>
      <c r="G1075" s="335"/>
      <c r="I1075" s="72"/>
      <c r="J1075" s="323">
        <f t="shared" si="4"/>
        <v>0</v>
      </c>
      <c r="L1075" s="149">
        <f t="shared" si="3"/>
        <v>1700000</v>
      </c>
    </row>
    <row r="1076" spans="1:12" ht="15" hidden="1">
      <c r="A1076" s="528"/>
      <c r="B1076" s="226" t="s">
        <v>93</v>
      </c>
      <c r="C1076" s="304"/>
      <c r="D1076" s="305"/>
      <c r="E1076" s="305" t="s">
        <v>75</v>
      </c>
      <c r="F1076" s="125">
        <v>3718761</v>
      </c>
      <c r="G1076" s="335"/>
      <c r="I1076" s="72"/>
      <c r="J1076" s="323">
        <f t="shared" si="4"/>
        <v>0</v>
      </c>
      <c r="L1076" s="149">
        <f t="shared" si="3"/>
        <v>3718761</v>
      </c>
    </row>
    <row r="1077" spans="1:12" s="326" customFormat="1" ht="40.5" customHeight="1" hidden="1">
      <c r="A1077" s="526" t="s">
        <v>258</v>
      </c>
      <c r="B1077" s="229" t="s">
        <v>242</v>
      </c>
      <c r="C1077" s="304">
        <v>0.25</v>
      </c>
      <c r="D1077" s="305"/>
      <c r="E1077" s="305" t="s">
        <v>75</v>
      </c>
      <c r="F1077" s="125">
        <f>F1078+F1079</f>
        <v>5610000</v>
      </c>
      <c r="G1077" s="287"/>
      <c r="I1077" s="125">
        <f>I1078+I1079</f>
        <v>0</v>
      </c>
      <c r="J1077" s="323">
        <f t="shared" si="4"/>
        <v>0</v>
      </c>
      <c r="K1077" s="125">
        <f>K1078+K1079</f>
        <v>0</v>
      </c>
      <c r="L1077" s="149">
        <f t="shared" si="3"/>
        <v>5610000</v>
      </c>
    </row>
    <row r="1078" spans="1:12" s="326" customFormat="1" ht="15" hidden="1">
      <c r="A1078" s="527"/>
      <c r="B1078" s="116" t="s">
        <v>95</v>
      </c>
      <c r="C1078" s="304"/>
      <c r="D1078" s="305"/>
      <c r="E1078" s="305" t="s">
        <v>75</v>
      </c>
      <c r="F1078" s="125">
        <v>5010000</v>
      </c>
      <c r="G1078" s="287"/>
      <c r="I1078" s="154"/>
      <c r="J1078" s="323">
        <f t="shared" si="4"/>
        <v>0</v>
      </c>
      <c r="K1078" s="154"/>
      <c r="L1078" s="149">
        <f t="shared" si="3"/>
        <v>5010000</v>
      </c>
    </row>
    <row r="1079" spans="1:12" s="326" customFormat="1" ht="15" hidden="1">
      <c r="A1079" s="528"/>
      <c r="B1079" s="116" t="s">
        <v>93</v>
      </c>
      <c r="C1079" s="332"/>
      <c r="D1079" s="153"/>
      <c r="E1079" s="305" t="s">
        <v>75</v>
      </c>
      <c r="F1079" s="125">
        <v>600000</v>
      </c>
      <c r="G1079" s="153"/>
      <c r="H1079" s="154" t="e">
        <f>SUM(#REF!)</f>
        <v>#REF!</v>
      </c>
      <c r="I1079" s="154"/>
      <c r="J1079" s="323">
        <f t="shared" si="4"/>
        <v>0</v>
      </c>
      <c r="K1079" s="154"/>
      <c r="L1079" s="149">
        <f t="shared" si="3"/>
        <v>600000</v>
      </c>
    </row>
    <row r="1080" spans="1:12" ht="45.75" customHeight="1" hidden="1">
      <c r="A1080" s="322" t="s">
        <v>259</v>
      </c>
      <c r="B1080" s="212" t="s">
        <v>230</v>
      </c>
      <c r="C1080" s="304"/>
      <c r="D1080" s="305"/>
      <c r="E1080" s="305" t="s">
        <v>75</v>
      </c>
      <c r="F1080" s="125">
        <v>8000000</v>
      </c>
      <c r="G1080" s="287" t="s">
        <v>611</v>
      </c>
      <c r="I1080" s="72"/>
      <c r="J1080" s="323">
        <f t="shared" si="4"/>
        <v>0</v>
      </c>
      <c r="L1080" s="149">
        <f t="shared" si="3"/>
        <v>8000000</v>
      </c>
    </row>
    <row r="1081" spans="1:12" ht="36.75" customHeight="1" hidden="1">
      <c r="A1081" s="322" t="s">
        <v>260</v>
      </c>
      <c r="B1081" s="306" t="s">
        <v>231</v>
      </c>
      <c r="C1081" s="304"/>
      <c r="D1081" s="305"/>
      <c r="E1081" s="305" t="s">
        <v>75</v>
      </c>
      <c r="F1081" s="125">
        <v>12000000</v>
      </c>
      <c r="G1081" s="287" t="s">
        <v>612</v>
      </c>
      <c r="I1081" s="72"/>
      <c r="J1081" s="323">
        <f t="shared" si="4"/>
        <v>0</v>
      </c>
      <c r="L1081" s="149">
        <f t="shared" si="3"/>
        <v>12000000</v>
      </c>
    </row>
    <row r="1082" spans="1:12" ht="60" hidden="1">
      <c r="A1082" s="322" t="s">
        <v>261</v>
      </c>
      <c r="B1082" s="331" t="s">
        <v>232</v>
      </c>
      <c r="C1082" s="304"/>
      <c r="D1082" s="305"/>
      <c r="E1082" s="305" t="s">
        <v>75</v>
      </c>
      <c r="F1082" s="125">
        <v>4500000</v>
      </c>
      <c r="G1082" s="348" t="s">
        <v>613</v>
      </c>
      <c r="I1082" s="122"/>
      <c r="J1082" s="323">
        <f t="shared" si="4"/>
        <v>0</v>
      </c>
      <c r="K1082" s="326"/>
      <c r="L1082" s="149">
        <f t="shared" si="3"/>
        <v>4500000</v>
      </c>
    </row>
    <row r="1083" spans="1:12" ht="60" hidden="1">
      <c r="A1083" s="322" t="s">
        <v>262</v>
      </c>
      <c r="B1083" s="331" t="s">
        <v>233</v>
      </c>
      <c r="C1083" s="304"/>
      <c r="D1083" s="305"/>
      <c r="E1083" s="305" t="s">
        <v>75</v>
      </c>
      <c r="F1083" s="125">
        <v>4500000</v>
      </c>
      <c r="G1083" s="348" t="s">
        <v>614</v>
      </c>
      <c r="I1083" s="122"/>
      <c r="J1083" s="323">
        <f t="shared" si="4"/>
        <v>0</v>
      </c>
      <c r="K1083" s="326"/>
      <c r="L1083" s="149">
        <f t="shared" si="3"/>
        <v>4500000</v>
      </c>
    </row>
    <row r="1084" spans="1:12" ht="60" hidden="1">
      <c r="A1084" s="322" t="s">
        <v>263</v>
      </c>
      <c r="B1084" s="335" t="s">
        <v>234</v>
      </c>
      <c r="C1084" s="304"/>
      <c r="D1084" s="305"/>
      <c r="E1084" s="305" t="s">
        <v>75</v>
      </c>
      <c r="F1084" s="125">
        <v>250000</v>
      </c>
      <c r="G1084" s="287" t="s">
        <v>635</v>
      </c>
      <c r="I1084" s="72">
        <v>250000</v>
      </c>
      <c r="J1084" s="323">
        <f t="shared" si="4"/>
        <v>100</v>
      </c>
      <c r="K1084" s="323">
        <v>250000</v>
      </c>
      <c r="L1084" s="149">
        <f t="shared" si="3"/>
        <v>0</v>
      </c>
    </row>
    <row r="1085" spans="1:12" ht="60" hidden="1">
      <c r="A1085" s="322" t="s">
        <v>264</v>
      </c>
      <c r="B1085" s="335" t="s">
        <v>235</v>
      </c>
      <c r="C1085" s="304"/>
      <c r="D1085" s="305"/>
      <c r="E1085" s="305" t="s">
        <v>75</v>
      </c>
      <c r="F1085" s="125">
        <v>250000</v>
      </c>
      <c r="G1085" s="335" t="s">
        <v>636</v>
      </c>
      <c r="I1085" s="72">
        <v>250000</v>
      </c>
      <c r="J1085" s="323">
        <f t="shared" si="4"/>
        <v>100</v>
      </c>
      <c r="K1085" s="323">
        <v>250000</v>
      </c>
      <c r="L1085" s="149">
        <f t="shared" si="3"/>
        <v>0</v>
      </c>
    </row>
    <row r="1086" spans="1:12" ht="60" hidden="1">
      <c r="A1086" s="322" t="s">
        <v>265</v>
      </c>
      <c r="B1086" s="285" t="s">
        <v>236</v>
      </c>
      <c r="C1086" s="304"/>
      <c r="D1086" s="305"/>
      <c r="E1086" s="305" t="s">
        <v>75</v>
      </c>
      <c r="F1086" s="125">
        <v>250000</v>
      </c>
      <c r="G1086" s="335" t="s">
        <v>636</v>
      </c>
      <c r="I1086" s="72">
        <v>250000</v>
      </c>
      <c r="J1086" s="323">
        <f t="shared" si="4"/>
        <v>100</v>
      </c>
      <c r="K1086" s="323">
        <v>250000</v>
      </c>
      <c r="L1086" s="149">
        <f t="shared" si="3"/>
        <v>0</v>
      </c>
    </row>
    <row r="1087" spans="1:12" ht="60" hidden="1">
      <c r="A1087" s="322" t="s">
        <v>100</v>
      </c>
      <c r="B1087" s="335" t="s">
        <v>237</v>
      </c>
      <c r="C1087" s="304"/>
      <c r="D1087" s="305"/>
      <c r="E1087" s="305" t="s">
        <v>75</v>
      </c>
      <c r="F1087" s="125">
        <v>180000</v>
      </c>
      <c r="G1087" s="287" t="s">
        <v>635</v>
      </c>
      <c r="I1087" s="72">
        <v>180000</v>
      </c>
      <c r="J1087" s="323">
        <f t="shared" si="4"/>
        <v>100</v>
      </c>
      <c r="K1087" s="323">
        <v>180000</v>
      </c>
      <c r="L1087" s="149">
        <f t="shared" si="3"/>
        <v>0</v>
      </c>
    </row>
    <row r="1088" spans="1:12" ht="45" hidden="1">
      <c r="A1088" s="322" t="s">
        <v>266</v>
      </c>
      <c r="B1088" s="287" t="s">
        <v>239</v>
      </c>
      <c r="C1088" s="304"/>
      <c r="D1088" s="305"/>
      <c r="E1088" s="305" t="s">
        <v>75</v>
      </c>
      <c r="F1088" s="125">
        <v>3250000</v>
      </c>
      <c r="G1088" s="335" t="s">
        <v>636</v>
      </c>
      <c r="I1088" s="323">
        <v>1000000</v>
      </c>
      <c r="J1088" s="323">
        <f t="shared" si="4"/>
        <v>30.76923076923077</v>
      </c>
      <c r="K1088" s="323">
        <v>1000000</v>
      </c>
      <c r="L1088" s="149">
        <f t="shared" si="3"/>
        <v>2250000</v>
      </c>
    </row>
    <row r="1089" spans="1:12" ht="30" hidden="1">
      <c r="A1089" s="322" t="s">
        <v>267</v>
      </c>
      <c r="B1089" s="230" t="s">
        <v>240</v>
      </c>
      <c r="C1089" s="304"/>
      <c r="D1089" s="305"/>
      <c r="E1089" s="305" t="s">
        <v>75</v>
      </c>
      <c r="F1089" s="125">
        <v>2673250</v>
      </c>
      <c r="G1089" s="335"/>
      <c r="I1089" s="323">
        <v>600000</v>
      </c>
      <c r="J1089" s="323">
        <f t="shared" si="4"/>
        <v>22.44458991863836</v>
      </c>
      <c r="K1089" s="323">
        <v>600000</v>
      </c>
      <c r="L1089" s="149">
        <f t="shared" si="3"/>
        <v>2073250</v>
      </c>
    </row>
    <row r="1090" spans="1:12" s="326" customFormat="1" ht="44.25" customHeight="1" hidden="1">
      <c r="A1090" s="322" t="s">
        <v>268</v>
      </c>
      <c r="B1090" s="331" t="s">
        <v>241</v>
      </c>
      <c r="C1090" s="332"/>
      <c r="D1090" s="153"/>
      <c r="E1090" s="305" t="s">
        <v>75</v>
      </c>
      <c r="F1090" s="125">
        <v>7000000</v>
      </c>
      <c r="G1090" s="348" t="s">
        <v>609</v>
      </c>
      <c r="H1090" s="323"/>
      <c r="I1090" s="71"/>
      <c r="J1090" s="323">
        <f t="shared" si="4"/>
        <v>0</v>
      </c>
      <c r="K1090" s="71"/>
      <c r="L1090" s="149">
        <f t="shared" si="3"/>
        <v>7000000</v>
      </c>
    </row>
    <row r="1091" spans="1:12" s="326" customFormat="1" ht="46.5" customHeight="1" hidden="1">
      <c r="A1091" s="322" t="s">
        <v>269</v>
      </c>
      <c r="B1091" s="285" t="s">
        <v>243</v>
      </c>
      <c r="C1091" s="151">
        <v>0.02</v>
      </c>
      <c r="D1091" s="343"/>
      <c r="E1091" s="305" t="s">
        <v>75</v>
      </c>
      <c r="F1091" s="125">
        <v>15000</v>
      </c>
      <c r="G1091" s="288"/>
      <c r="I1091" s="71"/>
      <c r="J1091" s="323">
        <f t="shared" si="4"/>
        <v>0</v>
      </c>
      <c r="K1091" s="71"/>
      <c r="L1091" s="149">
        <f t="shared" si="3"/>
        <v>15000</v>
      </c>
    </row>
    <row r="1092" spans="1:12" ht="45" hidden="1">
      <c r="A1092" s="322" t="s">
        <v>270</v>
      </c>
      <c r="B1092" s="230" t="s">
        <v>244</v>
      </c>
      <c r="C1092" s="304">
        <v>0.133</v>
      </c>
      <c r="D1092" s="305"/>
      <c r="E1092" s="305" t="s">
        <v>75</v>
      </c>
      <c r="F1092" s="125">
        <v>32000</v>
      </c>
      <c r="G1092" s="126"/>
      <c r="J1092" s="323">
        <f t="shared" si="4"/>
        <v>0</v>
      </c>
      <c r="L1092" s="149">
        <f t="shared" si="3"/>
        <v>32000</v>
      </c>
    </row>
    <row r="1093" spans="1:12" ht="36" customHeight="1" hidden="1">
      <c r="A1093" s="484" t="s">
        <v>4</v>
      </c>
      <c r="B1093" s="412" t="s">
        <v>271</v>
      </c>
      <c r="C1093" s="400"/>
      <c r="D1093" s="452"/>
      <c r="E1093" s="333" t="s">
        <v>96</v>
      </c>
      <c r="F1093" s="165">
        <f>SUM(F1094:F1096)</f>
        <v>300000</v>
      </c>
      <c r="G1093" s="432"/>
      <c r="H1093" s="323" t="e">
        <f>SUM(H1094:H1096)</f>
        <v>#REF!</v>
      </c>
      <c r="I1093" s="165">
        <f>SUM(I1094:I1096)</f>
        <v>0</v>
      </c>
      <c r="J1093" s="299">
        <f t="shared" si="4"/>
        <v>0</v>
      </c>
      <c r="K1093" s="165">
        <f>SUM(K1094:K1096)</f>
        <v>0</v>
      </c>
      <c r="L1093" s="118">
        <f t="shared" si="3"/>
        <v>300000</v>
      </c>
    </row>
    <row r="1094" spans="1:12" ht="21" customHeight="1" hidden="1">
      <c r="A1094" s="485"/>
      <c r="B1094" s="413"/>
      <c r="C1094" s="401"/>
      <c r="D1094" s="453"/>
      <c r="E1094" s="333" t="s">
        <v>74</v>
      </c>
      <c r="F1094" s="165"/>
      <c r="G1094" s="433"/>
      <c r="H1094" s="323" t="e">
        <f>SUM(H1097,#REF!)</f>
        <v>#REF!</v>
      </c>
      <c r="I1094" s="165"/>
      <c r="J1094" s="299"/>
      <c r="K1094" s="165"/>
      <c r="L1094" s="118">
        <f t="shared" si="3"/>
        <v>0</v>
      </c>
    </row>
    <row r="1095" spans="1:12" ht="20.25" customHeight="1" hidden="1">
      <c r="A1095" s="485"/>
      <c r="B1095" s="413"/>
      <c r="C1095" s="401"/>
      <c r="D1095" s="453"/>
      <c r="E1095" s="333" t="s">
        <v>75</v>
      </c>
      <c r="F1095" s="165">
        <f>SUM(F1099)</f>
        <v>300000</v>
      </c>
      <c r="G1095" s="433"/>
      <c r="H1095" s="323"/>
      <c r="I1095" s="165">
        <f>SUM(I1099)</f>
        <v>0</v>
      </c>
      <c r="J1095" s="299">
        <f>100*(I1095/F1095)</f>
        <v>0</v>
      </c>
      <c r="K1095" s="165">
        <f>SUM(K1099)</f>
        <v>0</v>
      </c>
      <c r="L1095" s="118">
        <f t="shared" si="3"/>
        <v>300000</v>
      </c>
    </row>
    <row r="1096" spans="1:12" ht="23.25" customHeight="1" hidden="1">
      <c r="A1096" s="486"/>
      <c r="B1096" s="414"/>
      <c r="C1096" s="402"/>
      <c r="D1096" s="454"/>
      <c r="E1096" s="333" t="s">
        <v>18</v>
      </c>
      <c r="F1096" s="165"/>
      <c r="G1096" s="434"/>
      <c r="H1096" s="323" t="e">
        <f>SUM(#REF!)</f>
        <v>#REF!</v>
      </c>
      <c r="I1096" s="165"/>
      <c r="J1096" s="299"/>
      <c r="K1096" s="165"/>
      <c r="L1096" s="118">
        <f t="shared" si="3"/>
        <v>0</v>
      </c>
    </row>
    <row r="1097" spans="1:12" ht="15" hidden="1">
      <c r="A1097" s="484" t="s">
        <v>101</v>
      </c>
      <c r="B1097" s="470" t="s">
        <v>97</v>
      </c>
      <c r="C1097" s="490">
        <f>SUM(C1100:C1106)</f>
        <v>9.221</v>
      </c>
      <c r="D1097" s="291"/>
      <c r="E1097" s="333" t="s">
        <v>96</v>
      </c>
      <c r="F1097" s="165">
        <f>SUM(F1098:F1099)</f>
        <v>300000</v>
      </c>
      <c r="G1097" s="323"/>
      <c r="H1097" s="333">
        <f>SUM(H1100:H1106)</f>
        <v>0</v>
      </c>
      <c r="I1097" s="165">
        <f>SUM(I1098:I1099)</f>
        <v>0</v>
      </c>
      <c r="J1097" s="333">
        <f>100*(I1097/F1097)</f>
        <v>0</v>
      </c>
      <c r="K1097" s="165">
        <f>SUM(K1098:K1099)</f>
        <v>0</v>
      </c>
      <c r="L1097" s="118">
        <f t="shared" si="3"/>
        <v>300000</v>
      </c>
    </row>
    <row r="1098" spans="1:12" ht="15" hidden="1">
      <c r="A1098" s="485"/>
      <c r="B1098" s="471"/>
      <c r="C1098" s="491"/>
      <c r="D1098" s="291"/>
      <c r="E1098" s="333" t="s">
        <v>74</v>
      </c>
      <c r="F1098" s="165">
        <f>SUM(F1101,F1104,F1107)</f>
        <v>0</v>
      </c>
      <c r="G1098" s="323"/>
      <c r="H1098" s="333"/>
      <c r="I1098" s="165">
        <f>SUM(I1101,I1104,I1107)</f>
        <v>0</v>
      </c>
      <c r="J1098" s="333"/>
      <c r="K1098" s="165">
        <f>SUM(K1101,K1104,K1107)</f>
        <v>0</v>
      </c>
      <c r="L1098" s="118">
        <f t="shared" si="3"/>
        <v>0</v>
      </c>
    </row>
    <row r="1099" spans="1:12" ht="15" hidden="1">
      <c r="A1099" s="486"/>
      <c r="B1099" s="472"/>
      <c r="C1099" s="492"/>
      <c r="D1099" s="291"/>
      <c r="E1099" s="333" t="s">
        <v>75</v>
      </c>
      <c r="F1099" s="165">
        <f>SUM(F1102,F1105,F1108)</f>
        <v>300000</v>
      </c>
      <c r="G1099" s="75"/>
      <c r="H1099" s="74"/>
      <c r="I1099" s="165">
        <f>SUM(I1102,I1105,I1108)</f>
        <v>0</v>
      </c>
      <c r="J1099" s="333">
        <f>100*(I1099/F1099)</f>
        <v>0</v>
      </c>
      <c r="K1099" s="165">
        <f>SUM(K1102,K1105,K1108)</f>
        <v>0</v>
      </c>
      <c r="L1099" s="118">
        <f t="shared" si="3"/>
        <v>300000</v>
      </c>
    </row>
    <row r="1100" spans="1:12" ht="45" hidden="1">
      <c r="A1100" s="526" t="s">
        <v>272</v>
      </c>
      <c r="B1100" s="285" t="s">
        <v>223</v>
      </c>
      <c r="C1100" s="120">
        <v>2.048</v>
      </c>
      <c r="D1100" s="121"/>
      <c r="E1100" s="81"/>
      <c r="F1100" s="125">
        <f>F1101+F1102</f>
        <v>100000</v>
      </c>
      <c r="G1100" s="72"/>
      <c r="H1100" s="71"/>
      <c r="I1100" s="125">
        <f>I1101+I1102</f>
        <v>0</v>
      </c>
      <c r="J1100" s="323">
        <f>100*(I1100/F1100)</f>
        <v>0</v>
      </c>
      <c r="K1100" s="125">
        <f>K1101+K1102</f>
        <v>0</v>
      </c>
      <c r="L1100" s="149">
        <f t="shared" si="3"/>
        <v>100000</v>
      </c>
    </row>
    <row r="1101" spans="1:12" ht="15" hidden="1">
      <c r="A1101" s="527"/>
      <c r="B1101" s="116" t="s">
        <v>95</v>
      </c>
      <c r="C1101" s="120"/>
      <c r="D1101" s="121"/>
      <c r="E1101" s="81"/>
      <c r="F1101" s="125">
        <v>0</v>
      </c>
      <c r="G1101" s="72"/>
      <c r="H1101" s="71"/>
      <c r="I1101" s="71"/>
      <c r="K1101" s="71"/>
      <c r="L1101" s="149">
        <f t="shared" si="3"/>
        <v>0</v>
      </c>
    </row>
    <row r="1102" spans="1:12" ht="15" hidden="1">
      <c r="A1102" s="528"/>
      <c r="B1102" s="116" t="s">
        <v>93</v>
      </c>
      <c r="C1102" s="120"/>
      <c r="D1102" s="121"/>
      <c r="E1102" s="81"/>
      <c r="F1102" s="125">
        <f>100000</f>
        <v>100000</v>
      </c>
      <c r="G1102" s="72"/>
      <c r="H1102" s="71"/>
      <c r="I1102" s="71"/>
      <c r="J1102" s="323">
        <f>100*(I1102/F1102)</f>
        <v>0</v>
      </c>
      <c r="K1102" s="71"/>
      <c r="L1102" s="149">
        <f aca="true" t="shared" si="5" ref="L1102:L1165">F1102-K1102</f>
        <v>100000</v>
      </c>
    </row>
    <row r="1103" spans="1:12" ht="45" hidden="1">
      <c r="A1103" s="526" t="s">
        <v>273</v>
      </c>
      <c r="B1103" s="335" t="s">
        <v>224</v>
      </c>
      <c r="C1103" s="120">
        <v>2.895</v>
      </c>
      <c r="D1103" s="121"/>
      <c r="E1103" s="81"/>
      <c r="F1103" s="125">
        <f>F1104+F1105</f>
        <v>100000</v>
      </c>
      <c r="G1103" s="72"/>
      <c r="H1103" s="71"/>
      <c r="I1103" s="125">
        <f>I1104+I1105</f>
        <v>0</v>
      </c>
      <c r="J1103" s="323">
        <f>100*(I1103/F1103)</f>
        <v>0</v>
      </c>
      <c r="K1103" s="125">
        <f>K1104+K1105</f>
        <v>0</v>
      </c>
      <c r="L1103" s="149">
        <f t="shared" si="5"/>
        <v>100000</v>
      </c>
    </row>
    <row r="1104" spans="1:12" ht="15" hidden="1">
      <c r="A1104" s="527"/>
      <c r="B1104" s="116" t="s">
        <v>95</v>
      </c>
      <c r="C1104" s="120"/>
      <c r="D1104" s="121"/>
      <c r="E1104" s="81"/>
      <c r="F1104" s="125">
        <v>0</v>
      </c>
      <c r="G1104" s="72"/>
      <c r="H1104" s="71"/>
      <c r="I1104" s="71"/>
      <c r="K1104" s="71"/>
      <c r="L1104" s="149">
        <f t="shared" si="5"/>
        <v>0</v>
      </c>
    </row>
    <row r="1105" spans="1:12" ht="15" hidden="1">
      <c r="A1105" s="528"/>
      <c r="B1105" s="116" t="s">
        <v>93</v>
      </c>
      <c r="C1105" s="120"/>
      <c r="D1105" s="121"/>
      <c r="E1105" s="81"/>
      <c r="F1105" s="125">
        <f>100000</f>
        <v>100000</v>
      </c>
      <c r="G1105" s="72"/>
      <c r="H1105" s="71"/>
      <c r="I1105" s="71"/>
      <c r="J1105" s="323">
        <f>100*(I1105/F1105)</f>
        <v>0</v>
      </c>
      <c r="K1105" s="71"/>
      <c r="L1105" s="149">
        <f t="shared" si="5"/>
        <v>100000</v>
      </c>
    </row>
    <row r="1106" spans="1:12" ht="45" hidden="1">
      <c r="A1106" s="526" t="s">
        <v>274</v>
      </c>
      <c r="B1106" s="335" t="s">
        <v>225</v>
      </c>
      <c r="C1106" s="120">
        <v>4.278</v>
      </c>
      <c r="D1106" s="121"/>
      <c r="E1106" s="81"/>
      <c r="F1106" s="125">
        <f>F1107+F1108</f>
        <v>100000</v>
      </c>
      <c r="G1106" s="72"/>
      <c r="H1106" s="71"/>
      <c r="I1106" s="125">
        <f>I1107+I1108</f>
        <v>0</v>
      </c>
      <c r="J1106" s="323">
        <f>100*(I1106/F1106)</f>
        <v>0</v>
      </c>
      <c r="K1106" s="125">
        <f>K1107+K1108</f>
        <v>0</v>
      </c>
      <c r="L1106" s="149">
        <f t="shared" si="5"/>
        <v>100000</v>
      </c>
    </row>
    <row r="1107" spans="1:12" ht="15" hidden="1">
      <c r="A1107" s="527"/>
      <c r="B1107" s="116" t="s">
        <v>95</v>
      </c>
      <c r="C1107" s="120"/>
      <c r="D1107" s="121"/>
      <c r="E1107" s="81"/>
      <c r="F1107" s="125">
        <v>0</v>
      </c>
      <c r="G1107" s="72"/>
      <c r="H1107" s="71"/>
      <c r="I1107" s="71"/>
      <c r="K1107" s="71"/>
      <c r="L1107" s="149">
        <f t="shared" si="5"/>
        <v>0</v>
      </c>
    </row>
    <row r="1108" spans="1:12" ht="15" hidden="1">
      <c r="A1108" s="528"/>
      <c r="B1108" s="116" t="s">
        <v>93</v>
      </c>
      <c r="C1108" s="120"/>
      <c r="D1108" s="121"/>
      <c r="E1108" s="81"/>
      <c r="F1108" s="125">
        <f>100000</f>
        <v>100000</v>
      </c>
      <c r="G1108" s="72"/>
      <c r="H1108" s="71"/>
      <c r="I1108" s="71"/>
      <c r="J1108" s="323">
        <f aca="true" t="shared" si="6" ref="J1108:J1113">100*(I1108/F1108)</f>
        <v>0</v>
      </c>
      <c r="K1108" s="71"/>
      <c r="L1108" s="149">
        <f t="shared" si="5"/>
        <v>100000</v>
      </c>
    </row>
    <row r="1109" spans="1:12" s="171" customFormat="1" ht="15" customHeight="1" hidden="1">
      <c r="A1109" s="448" t="s">
        <v>27</v>
      </c>
      <c r="B1109" s="520" t="s">
        <v>5</v>
      </c>
      <c r="C1109" s="523"/>
      <c r="D1109" s="410"/>
      <c r="E1109" s="81" t="s">
        <v>34</v>
      </c>
      <c r="F1109" s="160">
        <f>SUM(F1110:F1111)</f>
        <v>221173270.60999998</v>
      </c>
      <c r="G1109" s="348"/>
      <c r="H1109" s="588"/>
      <c r="I1109" s="71">
        <f>SUM(I1110:I1111)</f>
        <v>0</v>
      </c>
      <c r="J1109" s="333">
        <f t="shared" si="6"/>
        <v>0</v>
      </c>
      <c r="K1109" s="71">
        <f>SUM(K1110:K1111)</f>
        <v>0</v>
      </c>
      <c r="L1109" s="68">
        <f t="shared" si="5"/>
        <v>221173270.60999998</v>
      </c>
    </row>
    <row r="1110" spans="1:12" s="171" customFormat="1" ht="15" customHeight="1" hidden="1">
      <c r="A1110" s="448"/>
      <c r="B1110" s="521"/>
      <c r="C1110" s="523"/>
      <c r="D1110" s="410"/>
      <c r="E1110" s="81" t="s">
        <v>75</v>
      </c>
      <c r="F1110" s="160">
        <f>F1113+F1116+F1119+F1122+F1125+F1128+F1131+F1134+F1136</f>
        <v>220480955.51</v>
      </c>
      <c r="G1110" s="348"/>
      <c r="H1110" s="589"/>
      <c r="I1110" s="71">
        <f>SUM(I1136,I1125,I1122,I1119)</f>
        <v>0</v>
      </c>
      <c r="J1110" s="333">
        <f t="shared" si="6"/>
        <v>0</v>
      </c>
      <c r="K1110" s="71">
        <f>SUM(K1136,K1125,K1122,K1119)</f>
        <v>0</v>
      </c>
      <c r="L1110" s="68">
        <f t="shared" si="5"/>
        <v>220480955.51</v>
      </c>
    </row>
    <row r="1111" spans="1:12" s="171" customFormat="1" ht="15" customHeight="1" hidden="1">
      <c r="A1111" s="441"/>
      <c r="B1111" s="522"/>
      <c r="C1111" s="524"/>
      <c r="D1111" s="525"/>
      <c r="E1111" s="81" t="s">
        <v>18</v>
      </c>
      <c r="F1111" s="160">
        <f>SUM(F1117)</f>
        <v>692315.0999999996</v>
      </c>
      <c r="G1111" s="348"/>
      <c r="H1111" s="589"/>
      <c r="I1111" s="71">
        <f>SUM(I1117)</f>
        <v>0</v>
      </c>
      <c r="J1111" s="333">
        <f t="shared" si="6"/>
        <v>0</v>
      </c>
      <c r="K1111" s="71">
        <f>SUM(K1117)</f>
        <v>0</v>
      </c>
      <c r="L1111" s="68">
        <f t="shared" si="5"/>
        <v>692315.0999999996</v>
      </c>
    </row>
    <row r="1112" spans="1:12" s="171" customFormat="1" ht="15" customHeight="1" hidden="1">
      <c r="A1112" s="391" t="s">
        <v>112</v>
      </c>
      <c r="B1112" s="476" t="s">
        <v>395</v>
      </c>
      <c r="C1112" s="409"/>
      <c r="D1112" s="410"/>
      <c r="E1112" s="81" t="s">
        <v>34</v>
      </c>
      <c r="F1112" s="160">
        <f>SUM(F1113:F1114)</f>
        <v>45739678.04</v>
      </c>
      <c r="G1112" s="517"/>
      <c r="H1112" s="597" t="s">
        <v>19</v>
      </c>
      <c r="I1112" s="333">
        <f>SUM(I1113:I1114)</f>
        <v>0</v>
      </c>
      <c r="J1112" s="333">
        <f t="shared" si="6"/>
        <v>0</v>
      </c>
      <c r="K1112" s="333">
        <f>SUM(K1113:K1114)</f>
        <v>0</v>
      </c>
      <c r="L1112" s="69">
        <f t="shared" si="5"/>
        <v>45739678.04</v>
      </c>
    </row>
    <row r="1113" spans="1:12" s="171" customFormat="1" ht="15" customHeight="1" hidden="1">
      <c r="A1113" s="441"/>
      <c r="B1113" s="477"/>
      <c r="C1113" s="524"/>
      <c r="D1113" s="525"/>
      <c r="E1113" s="305" t="s">
        <v>75</v>
      </c>
      <c r="F1113" s="231">
        <v>43452693.04</v>
      </c>
      <c r="G1113" s="518"/>
      <c r="H1113" s="597"/>
      <c r="I1113" s="323"/>
      <c r="J1113" s="323">
        <f t="shared" si="6"/>
        <v>0</v>
      </c>
      <c r="K1113" s="323"/>
      <c r="L1113" s="68">
        <f t="shared" si="5"/>
        <v>43452693.04</v>
      </c>
    </row>
    <row r="1114" spans="1:12" s="171" customFormat="1" ht="15" customHeight="1" hidden="1">
      <c r="A1114" s="441"/>
      <c r="B1114" s="478"/>
      <c r="C1114" s="524"/>
      <c r="D1114" s="525"/>
      <c r="E1114" s="305" t="s">
        <v>18</v>
      </c>
      <c r="F1114" s="166">
        <v>2286985</v>
      </c>
      <c r="G1114" s="519"/>
      <c r="H1114" s="597"/>
      <c r="I1114" s="323"/>
      <c r="J1114" s="323">
        <f>100*(I1114/F1113)</f>
        <v>0</v>
      </c>
      <c r="K1114" s="323"/>
      <c r="L1114" s="68">
        <f t="shared" si="5"/>
        <v>2286985</v>
      </c>
    </row>
    <row r="1115" spans="1:12" s="171" customFormat="1" ht="15" customHeight="1" hidden="1">
      <c r="A1115" s="391" t="s">
        <v>28</v>
      </c>
      <c r="B1115" s="476" t="s">
        <v>396</v>
      </c>
      <c r="C1115" s="409"/>
      <c r="D1115" s="410"/>
      <c r="E1115" s="81" t="s">
        <v>34</v>
      </c>
      <c r="F1115" s="160">
        <f>SUM(F1116:F1117)</f>
        <v>13846301.93</v>
      </c>
      <c r="G1115" s="517"/>
      <c r="H1115" s="384"/>
      <c r="I1115" s="333">
        <f>SUM(I1116:I1117)</f>
        <v>0</v>
      </c>
      <c r="J1115" s="502">
        <f>I1115/F1115*100</f>
        <v>0</v>
      </c>
      <c r="K1115" s="333">
        <f>SUM(K1116:K1117)</f>
        <v>0</v>
      </c>
      <c r="L1115" s="68">
        <f t="shared" si="5"/>
        <v>13846301.93</v>
      </c>
    </row>
    <row r="1116" spans="1:12" s="171" customFormat="1" ht="15" customHeight="1" hidden="1">
      <c r="A1116" s="441"/>
      <c r="B1116" s="477"/>
      <c r="C1116" s="409"/>
      <c r="D1116" s="410"/>
      <c r="E1116" s="305" t="s">
        <v>75</v>
      </c>
      <c r="F1116" s="231">
        <v>13153986.83</v>
      </c>
      <c r="G1116" s="518"/>
      <c r="H1116" s="384"/>
      <c r="I1116" s="323"/>
      <c r="J1116" s="503"/>
      <c r="K1116" s="323"/>
      <c r="L1116" s="68">
        <f t="shared" si="5"/>
        <v>13153986.83</v>
      </c>
    </row>
    <row r="1117" spans="1:12" s="171" customFormat="1" ht="15" customHeight="1" hidden="1">
      <c r="A1117" s="441"/>
      <c r="B1117" s="478"/>
      <c r="C1117" s="409"/>
      <c r="D1117" s="410"/>
      <c r="E1117" s="305" t="s">
        <v>18</v>
      </c>
      <c r="F1117" s="161">
        <v>692315.0999999996</v>
      </c>
      <c r="G1117" s="519"/>
      <c r="H1117" s="384"/>
      <c r="I1117" s="323"/>
      <c r="J1117" s="504"/>
      <c r="K1117" s="323"/>
      <c r="L1117" s="68">
        <f t="shared" si="5"/>
        <v>692315.0999999996</v>
      </c>
    </row>
    <row r="1118" spans="1:12" s="171" customFormat="1" ht="15" customHeight="1" hidden="1">
      <c r="A1118" s="596" t="s">
        <v>113</v>
      </c>
      <c r="B1118" s="517" t="s">
        <v>397</v>
      </c>
      <c r="C1118" s="409"/>
      <c r="D1118" s="410"/>
      <c r="E1118" s="81" t="s">
        <v>34</v>
      </c>
      <c r="F1118" s="160">
        <f>SUM(F1119:F1120)</f>
        <v>1360149.5</v>
      </c>
      <c r="G1118" s="514"/>
      <c r="H1118" s="597" t="s">
        <v>20</v>
      </c>
      <c r="I1118" s="71">
        <f>SUM(I1119:I1120)</f>
        <v>0</v>
      </c>
      <c r="J1118" s="502">
        <f>100*(I1118/F1118)</f>
        <v>0</v>
      </c>
      <c r="K1118" s="71">
        <f>SUM(K1119:K1120)</f>
        <v>0</v>
      </c>
      <c r="L1118" s="68">
        <f t="shared" si="5"/>
        <v>1360149.5</v>
      </c>
    </row>
    <row r="1119" spans="1:12" s="171" customFormat="1" ht="15" customHeight="1" hidden="1">
      <c r="A1119" s="596"/>
      <c r="B1119" s="518"/>
      <c r="C1119" s="409"/>
      <c r="D1119" s="410"/>
      <c r="E1119" s="305" t="s">
        <v>75</v>
      </c>
      <c r="F1119" s="232">
        <v>1292142</v>
      </c>
      <c r="G1119" s="515"/>
      <c r="H1119" s="597"/>
      <c r="I1119" s="233"/>
      <c r="J1119" s="503"/>
      <c r="K1119" s="233"/>
      <c r="L1119" s="68">
        <f t="shared" si="5"/>
        <v>1292142</v>
      </c>
    </row>
    <row r="1120" spans="1:12" s="171" customFormat="1" ht="15" customHeight="1" hidden="1">
      <c r="A1120" s="596"/>
      <c r="B1120" s="519"/>
      <c r="C1120" s="409"/>
      <c r="D1120" s="410"/>
      <c r="E1120" s="305" t="s">
        <v>18</v>
      </c>
      <c r="F1120" s="232">
        <v>68007.5</v>
      </c>
      <c r="G1120" s="516"/>
      <c r="H1120" s="597"/>
      <c r="I1120" s="234"/>
      <c r="J1120" s="504"/>
      <c r="K1120" s="234"/>
      <c r="L1120" s="68">
        <f t="shared" si="5"/>
        <v>68007.5</v>
      </c>
    </row>
    <row r="1121" spans="1:12" s="171" customFormat="1" ht="15" customHeight="1" hidden="1">
      <c r="A1121" s="391" t="s">
        <v>114</v>
      </c>
      <c r="B1121" s="514" t="s">
        <v>398</v>
      </c>
      <c r="C1121" s="409"/>
      <c r="D1121" s="410"/>
      <c r="E1121" s="81" t="s">
        <v>34</v>
      </c>
      <c r="F1121" s="235">
        <f>SUM(F1122:F1123)</f>
        <v>55363837.44</v>
      </c>
      <c r="G1121" s="517"/>
      <c r="H1121" s="597"/>
      <c r="I1121" s="236">
        <f>SUM(I1122:I1123)</f>
        <v>0</v>
      </c>
      <c r="J1121" s="502">
        <f>100*(I1121/F1121)</f>
        <v>0</v>
      </c>
      <c r="K1121" s="236">
        <f>SUM(K1122:K1123)</f>
        <v>0</v>
      </c>
      <c r="L1121" s="68">
        <f t="shared" si="5"/>
        <v>55363837.44</v>
      </c>
    </row>
    <row r="1122" spans="1:12" s="171" customFormat="1" ht="15" customHeight="1" hidden="1">
      <c r="A1122" s="441"/>
      <c r="B1122" s="515"/>
      <c r="C1122" s="409"/>
      <c r="D1122" s="410"/>
      <c r="E1122" s="305" t="s">
        <v>75</v>
      </c>
      <c r="F1122" s="237">
        <v>52595645.44</v>
      </c>
      <c r="G1122" s="518"/>
      <c r="H1122" s="597"/>
      <c r="I1122" s="323"/>
      <c r="J1122" s="503"/>
      <c r="K1122" s="323"/>
      <c r="L1122" s="68">
        <f t="shared" si="5"/>
        <v>52595645.44</v>
      </c>
    </row>
    <row r="1123" spans="1:12" s="171" customFormat="1" ht="15" customHeight="1" hidden="1">
      <c r="A1123" s="441"/>
      <c r="B1123" s="516"/>
      <c r="C1123" s="409"/>
      <c r="D1123" s="410"/>
      <c r="E1123" s="305" t="s">
        <v>18</v>
      </c>
      <c r="F1123" s="238">
        <v>2768192</v>
      </c>
      <c r="G1123" s="519"/>
      <c r="H1123" s="597"/>
      <c r="I1123" s="323"/>
      <c r="J1123" s="504"/>
      <c r="K1123" s="323"/>
      <c r="L1123" s="68">
        <f t="shared" si="5"/>
        <v>2768192</v>
      </c>
    </row>
    <row r="1124" spans="1:12" s="171" customFormat="1" ht="18" customHeight="1" hidden="1">
      <c r="A1124" s="391" t="s">
        <v>115</v>
      </c>
      <c r="B1124" s="511" t="s">
        <v>400</v>
      </c>
      <c r="C1124" s="409"/>
      <c r="D1124" s="410"/>
      <c r="E1124" s="81" t="s">
        <v>34</v>
      </c>
      <c r="F1124" s="235">
        <f>SUM(F1125:F1126)</f>
        <v>9757824.35</v>
      </c>
      <c r="G1124" s="517"/>
      <c r="H1124" s="524"/>
      <c r="I1124" s="236">
        <f>SUM(I1125:I1126)</f>
        <v>0</v>
      </c>
      <c r="J1124" s="309">
        <f aca="true" t="shared" si="7" ref="J1124:J1135">100*(I1124/F1124)</f>
        <v>0</v>
      </c>
      <c r="K1124" s="333">
        <f>SUM(K1125:K1126)</f>
        <v>0</v>
      </c>
      <c r="L1124" s="68">
        <f t="shared" si="5"/>
        <v>9757824.35</v>
      </c>
    </row>
    <row r="1125" spans="1:12" s="171" customFormat="1" ht="15" hidden="1">
      <c r="A1125" s="441"/>
      <c r="B1125" s="512"/>
      <c r="C1125" s="409"/>
      <c r="D1125" s="410"/>
      <c r="E1125" s="305" t="s">
        <v>75</v>
      </c>
      <c r="F1125" s="231">
        <v>9269933.13</v>
      </c>
      <c r="G1125" s="518"/>
      <c r="H1125" s="524"/>
      <c r="I1125" s="233"/>
      <c r="J1125" s="309">
        <f t="shared" si="7"/>
        <v>0</v>
      </c>
      <c r="K1125" s="323"/>
      <c r="L1125" s="68">
        <f t="shared" si="5"/>
        <v>9269933.13</v>
      </c>
    </row>
    <row r="1126" spans="1:12" s="171" customFormat="1" ht="15" hidden="1">
      <c r="A1126" s="441"/>
      <c r="B1126" s="513"/>
      <c r="C1126" s="409"/>
      <c r="D1126" s="410"/>
      <c r="E1126" s="305" t="s">
        <v>18</v>
      </c>
      <c r="F1126" s="238">
        <v>487891.2199999988</v>
      </c>
      <c r="G1126" s="519"/>
      <c r="H1126" s="524"/>
      <c r="I1126" s="121"/>
      <c r="J1126" s="309">
        <f t="shared" si="7"/>
        <v>0</v>
      </c>
      <c r="K1126" s="323"/>
      <c r="L1126" s="68">
        <f t="shared" si="5"/>
        <v>487891.2199999988</v>
      </c>
    </row>
    <row r="1127" spans="1:12" s="171" customFormat="1" ht="18" customHeight="1" hidden="1">
      <c r="A1127" s="391" t="s">
        <v>403</v>
      </c>
      <c r="B1127" s="511" t="s">
        <v>399</v>
      </c>
      <c r="C1127" s="409"/>
      <c r="D1127" s="410"/>
      <c r="E1127" s="81" t="s">
        <v>34</v>
      </c>
      <c r="F1127" s="235">
        <f>SUM(F1128:F1129)</f>
        <v>59261594.46</v>
      </c>
      <c r="G1127" s="517"/>
      <c r="H1127" s="524"/>
      <c r="I1127" s="236">
        <f>SUM(I1128:I1129)</f>
        <v>0</v>
      </c>
      <c r="J1127" s="309">
        <f t="shared" si="7"/>
        <v>0</v>
      </c>
      <c r="K1127" s="333">
        <f>SUM(K1128:K1129)</f>
        <v>0</v>
      </c>
      <c r="L1127" s="68">
        <f t="shared" si="5"/>
        <v>59261594.46</v>
      </c>
    </row>
    <row r="1128" spans="1:12" s="171" customFormat="1" ht="15" hidden="1">
      <c r="A1128" s="441"/>
      <c r="B1128" s="512"/>
      <c r="C1128" s="409"/>
      <c r="D1128" s="410"/>
      <c r="E1128" s="305" t="s">
        <v>75</v>
      </c>
      <c r="F1128" s="231">
        <v>56298514.73</v>
      </c>
      <c r="G1128" s="518"/>
      <c r="H1128" s="524"/>
      <c r="I1128" s="233"/>
      <c r="J1128" s="309">
        <f t="shared" si="7"/>
        <v>0</v>
      </c>
      <c r="K1128" s="323"/>
      <c r="L1128" s="68">
        <f t="shared" si="5"/>
        <v>56298514.73</v>
      </c>
    </row>
    <row r="1129" spans="1:12" s="171" customFormat="1" ht="18" customHeight="1" hidden="1">
      <c r="A1129" s="441"/>
      <c r="B1129" s="513"/>
      <c r="C1129" s="409"/>
      <c r="D1129" s="410"/>
      <c r="E1129" s="305" t="s">
        <v>18</v>
      </c>
      <c r="F1129" s="238">
        <v>2963079.730000004</v>
      </c>
      <c r="G1129" s="519"/>
      <c r="H1129" s="524"/>
      <c r="I1129" s="121"/>
      <c r="J1129" s="309">
        <f t="shared" si="7"/>
        <v>0</v>
      </c>
      <c r="K1129" s="323"/>
      <c r="L1129" s="68">
        <f t="shared" si="5"/>
        <v>2963079.730000004</v>
      </c>
    </row>
    <row r="1130" spans="1:12" s="171" customFormat="1" ht="18" customHeight="1" hidden="1">
      <c r="A1130" s="391" t="s">
        <v>404</v>
      </c>
      <c r="B1130" s="511" t="s">
        <v>401</v>
      </c>
      <c r="C1130" s="409"/>
      <c r="D1130" s="410"/>
      <c r="E1130" s="81" t="s">
        <v>34</v>
      </c>
      <c r="F1130" s="235">
        <f>SUM(F1131:F1132)</f>
        <v>2506654.4</v>
      </c>
      <c r="G1130" s="517"/>
      <c r="H1130" s="524"/>
      <c r="I1130" s="236">
        <f>SUM(I1131:I1132)</f>
        <v>0</v>
      </c>
      <c r="J1130" s="309">
        <f t="shared" si="7"/>
        <v>0</v>
      </c>
      <c r="K1130" s="333">
        <f>SUM(K1131:K1132)</f>
        <v>0</v>
      </c>
      <c r="L1130" s="68">
        <f t="shared" si="5"/>
        <v>2506654.4</v>
      </c>
    </row>
    <row r="1131" spans="1:12" s="171" customFormat="1" ht="15" hidden="1">
      <c r="A1131" s="441"/>
      <c r="B1131" s="512"/>
      <c r="C1131" s="409"/>
      <c r="D1131" s="410"/>
      <c r="E1131" s="305" t="s">
        <v>75</v>
      </c>
      <c r="F1131" s="231">
        <v>2381321.68</v>
      </c>
      <c r="G1131" s="518"/>
      <c r="H1131" s="524"/>
      <c r="I1131" s="233"/>
      <c r="J1131" s="309">
        <f t="shared" si="7"/>
        <v>0</v>
      </c>
      <c r="K1131" s="323"/>
      <c r="L1131" s="68">
        <f t="shared" si="5"/>
        <v>2381321.68</v>
      </c>
    </row>
    <row r="1132" spans="1:12" s="171" customFormat="1" ht="18" customHeight="1" hidden="1">
      <c r="A1132" s="441"/>
      <c r="B1132" s="513"/>
      <c r="C1132" s="409"/>
      <c r="D1132" s="410"/>
      <c r="E1132" s="305" t="s">
        <v>18</v>
      </c>
      <c r="F1132" s="238">
        <v>125332.71999999974</v>
      </c>
      <c r="G1132" s="519"/>
      <c r="H1132" s="524"/>
      <c r="I1132" s="121"/>
      <c r="J1132" s="309">
        <f t="shared" si="7"/>
        <v>0</v>
      </c>
      <c r="K1132" s="323"/>
      <c r="L1132" s="68">
        <f t="shared" si="5"/>
        <v>125332.71999999974</v>
      </c>
    </row>
    <row r="1133" spans="1:12" s="171" customFormat="1" ht="18" customHeight="1" hidden="1">
      <c r="A1133" s="391" t="s">
        <v>405</v>
      </c>
      <c r="B1133" s="511" t="s">
        <v>402</v>
      </c>
      <c r="C1133" s="409"/>
      <c r="D1133" s="410"/>
      <c r="E1133" s="81" t="s">
        <v>34</v>
      </c>
      <c r="F1133" s="235">
        <f>SUM(F1134:F1135)</f>
        <v>43850672.2</v>
      </c>
      <c r="G1133" s="517"/>
      <c r="H1133" s="524"/>
      <c r="I1133" s="236">
        <f>SUM(I1134:I1135)</f>
        <v>0</v>
      </c>
      <c r="J1133" s="309">
        <f t="shared" si="7"/>
        <v>0</v>
      </c>
      <c r="K1133" s="333">
        <f>SUM(K1134:K1135)</f>
        <v>0</v>
      </c>
      <c r="L1133" s="68">
        <f t="shared" si="5"/>
        <v>43850672.2</v>
      </c>
    </row>
    <row r="1134" spans="1:12" s="171" customFormat="1" ht="15" hidden="1">
      <c r="A1134" s="441"/>
      <c r="B1134" s="512"/>
      <c r="C1134" s="409"/>
      <c r="D1134" s="410"/>
      <c r="E1134" s="305" t="s">
        <v>75</v>
      </c>
      <c r="F1134" s="231">
        <v>41658138.4</v>
      </c>
      <c r="G1134" s="518"/>
      <c r="H1134" s="524"/>
      <c r="I1134" s="233"/>
      <c r="J1134" s="309">
        <f t="shared" si="7"/>
        <v>0</v>
      </c>
      <c r="K1134" s="323"/>
      <c r="L1134" s="68">
        <f t="shared" si="5"/>
        <v>41658138.4</v>
      </c>
    </row>
    <row r="1135" spans="1:12" s="171" customFormat="1" ht="18" customHeight="1" hidden="1">
      <c r="A1135" s="441"/>
      <c r="B1135" s="513"/>
      <c r="C1135" s="409"/>
      <c r="D1135" s="410"/>
      <c r="E1135" s="305" t="s">
        <v>18</v>
      </c>
      <c r="F1135" s="238">
        <v>2192533.8000000045</v>
      </c>
      <c r="G1135" s="519"/>
      <c r="H1135" s="524"/>
      <c r="I1135" s="121"/>
      <c r="J1135" s="309">
        <f t="shared" si="7"/>
        <v>0</v>
      </c>
      <c r="K1135" s="323"/>
      <c r="L1135" s="68">
        <f t="shared" si="5"/>
        <v>2192533.8000000045</v>
      </c>
    </row>
    <row r="1136" spans="1:12" s="171" customFormat="1" ht="17.25" customHeight="1" hidden="1">
      <c r="A1136" s="193" t="s">
        <v>406</v>
      </c>
      <c r="B1136" s="331" t="s">
        <v>86</v>
      </c>
      <c r="C1136" s="304"/>
      <c r="D1136" s="305"/>
      <c r="E1136" s="305" t="s">
        <v>75</v>
      </c>
      <c r="F1136" s="238">
        <f>220480955.51-F1113-F1116-F1119-F1122-F1125-F1128-F1131-F1134</f>
        <v>378580.2599999979</v>
      </c>
      <c r="G1136" s="307"/>
      <c r="H1136" s="305"/>
      <c r="I1136" s="121"/>
      <c r="J1136" s="239"/>
      <c r="K1136" s="75"/>
      <c r="L1136" s="68">
        <f t="shared" si="5"/>
        <v>378580.2599999979</v>
      </c>
    </row>
    <row r="1137" spans="1:12" s="171" customFormat="1" ht="39" customHeight="1" hidden="1">
      <c r="A1137" s="591">
        <v>9</v>
      </c>
      <c r="B1137" s="509" t="s">
        <v>683</v>
      </c>
      <c r="C1137" s="523"/>
      <c r="D1137" s="410"/>
      <c r="E1137" s="81" t="s">
        <v>34</v>
      </c>
      <c r="F1137" s="196">
        <f>SUM(F1138:F1138)</f>
        <v>500000000</v>
      </c>
      <c r="G1137" s="594"/>
      <c r="H1137" s="197">
        <f>SUM(H1138:H1138)</f>
        <v>0</v>
      </c>
      <c r="I1137" s="197"/>
      <c r="J1137" s="309">
        <f>100*(I1137/F1137)</f>
        <v>0</v>
      </c>
      <c r="K1137" s="197">
        <f>SUM(K1138:K1138)</f>
        <v>0</v>
      </c>
      <c r="L1137" s="69">
        <f t="shared" si="5"/>
        <v>500000000</v>
      </c>
    </row>
    <row r="1138" spans="1:12" s="171" customFormat="1" ht="30.75" customHeight="1" hidden="1">
      <c r="A1138" s="592"/>
      <c r="B1138" s="593"/>
      <c r="C1138" s="523"/>
      <c r="D1138" s="410"/>
      <c r="E1138" s="81" t="s">
        <v>74</v>
      </c>
      <c r="F1138" s="196">
        <f>SUM(F1139:F1156)</f>
        <v>500000000</v>
      </c>
      <c r="G1138" s="595"/>
      <c r="H1138" s="197">
        <f>SUM(H1139,H1140,H1141)</f>
        <v>0</v>
      </c>
      <c r="I1138" s="197">
        <f>SUM(I1139,I1140,I1141)</f>
        <v>0</v>
      </c>
      <c r="J1138" s="309">
        <f>100*(I1138/F1138)</f>
        <v>0</v>
      </c>
      <c r="K1138" s="197">
        <f>SUM(K1139,K1140,K1141,K1156)</f>
        <v>0</v>
      </c>
      <c r="L1138" s="69">
        <f t="shared" si="5"/>
        <v>500000000</v>
      </c>
    </row>
    <row r="1139" spans="1:12" s="171" customFormat="1" ht="30" hidden="1">
      <c r="A1139" s="191" t="s">
        <v>425</v>
      </c>
      <c r="B1139" s="240" t="s">
        <v>407</v>
      </c>
      <c r="C1139" s="315"/>
      <c r="D1139" s="318"/>
      <c r="E1139" s="305" t="s">
        <v>74</v>
      </c>
      <c r="F1139" s="237">
        <v>22349502.08</v>
      </c>
      <c r="G1139" s="307"/>
      <c r="H1139" s="308"/>
      <c r="I1139" s="233"/>
      <c r="J1139" s="301"/>
      <c r="K1139" s="323"/>
      <c r="L1139" s="68">
        <f t="shared" si="5"/>
        <v>22349502.08</v>
      </c>
    </row>
    <row r="1140" spans="1:12" s="171" customFormat="1" ht="15" customHeight="1" hidden="1">
      <c r="A1140" s="172" t="s">
        <v>426</v>
      </c>
      <c r="B1140" s="240" t="s">
        <v>408</v>
      </c>
      <c r="C1140" s="315"/>
      <c r="D1140" s="318"/>
      <c r="E1140" s="305" t="s">
        <v>74</v>
      </c>
      <c r="F1140" s="231">
        <v>23461883.36</v>
      </c>
      <c r="G1140" s="307"/>
      <c r="H1140" s="308"/>
      <c r="I1140" s="233"/>
      <c r="J1140" s="301"/>
      <c r="K1140" s="323"/>
      <c r="L1140" s="68">
        <f t="shared" si="5"/>
        <v>23461883.36</v>
      </c>
    </row>
    <row r="1141" spans="1:12" s="171" customFormat="1" ht="15" customHeight="1" hidden="1">
      <c r="A1141" s="191" t="s">
        <v>427</v>
      </c>
      <c r="B1141" s="240" t="s">
        <v>409</v>
      </c>
      <c r="C1141" s="315"/>
      <c r="D1141" s="318"/>
      <c r="E1141" s="305" t="s">
        <v>74</v>
      </c>
      <c r="F1141" s="231">
        <v>51871722.66</v>
      </c>
      <c r="G1141" s="324"/>
      <c r="H1141" s="308"/>
      <c r="I1141" s="241"/>
      <c r="J1141" s="301"/>
      <c r="K1141" s="323"/>
      <c r="L1141" s="68">
        <f t="shared" si="5"/>
        <v>51871722.66</v>
      </c>
    </row>
    <row r="1142" spans="1:12" s="171" customFormat="1" ht="15" customHeight="1" hidden="1">
      <c r="A1142" s="172" t="s">
        <v>428</v>
      </c>
      <c r="B1142" s="240" t="s">
        <v>410</v>
      </c>
      <c r="C1142" s="315"/>
      <c r="D1142" s="318"/>
      <c r="E1142" s="305" t="s">
        <v>74</v>
      </c>
      <c r="F1142" s="231">
        <v>30231372.26</v>
      </c>
      <c r="G1142" s="324"/>
      <c r="H1142" s="308"/>
      <c r="I1142" s="241"/>
      <c r="J1142" s="301"/>
      <c r="K1142" s="323"/>
      <c r="L1142" s="68">
        <f t="shared" si="5"/>
        <v>30231372.26</v>
      </c>
    </row>
    <row r="1143" spans="1:12" s="171" customFormat="1" ht="15" customHeight="1" hidden="1">
      <c r="A1143" s="191" t="s">
        <v>429</v>
      </c>
      <c r="B1143" s="240" t="s">
        <v>411</v>
      </c>
      <c r="C1143" s="315"/>
      <c r="D1143" s="318"/>
      <c r="E1143" s="305" t="s">
        <v>74</v>
      </c>
      <c r="F1143" s="231">
        <v>23759913.6</v>
      </c>
      <c r="G1143" s="324"/>
      <c r="H1143" s="308"/>
      <c r="I1143" s="241"/>
      <c r="J1143" s="301"/>
      <c r="K1143" s="323"/>
      <c r="L1143" s="68">
        <f t="shared" si="5"/>
        <v>23759913.6</v>
      </c>
    </row>
    <row r="1144" spans="1:12" s="171" customFormat="1" ht="15" customHeight="1" hidden="1">
      <c r="A1144" s="172" t="s">
        <v>430</v>
      </c>
      <c r="B1144" s="240" t="s">
        <v>412</v>
      </c>
      <c r="C1144" s="315"/>
      <c r="D1144" s="318"/>
      <c r="E1144" s="305" t="s">
        <v>74</v>
      </c>
      <c r="F1144" s="231">
        <v>23758911.78</v>
      </c>
      <c r="G1144" s="324"/>
      <c r="H1144" s="308"/>
      <c r="I1144" s="241"/>
      <c r="J1144" s="301"/>
      <c r="K1144" s="323"/>
      <c r="L1144" s="68">
        <f t="shared" si="5"/>
        <v>23758911.78</v>
      </c>
    </row>
    <row r="1145" spans="1:12" s="171" customFormat="1" ht="15" customHeight="1" hidden="1">
      <c r="A1145" s="191" t="s">
        <v>431</v>
      </c>
      <c r="B1145" s="240" t="s">
        <v>413</v>
      </c>
      <c r="C1145" s="315"/>
      <c r="D1145" s="318"/>
      <c r="E1145" s="305" t="s">
        <v>74</v>
      </c>
      <c r="F1145" s="231">
        <v>48538957.8</v>
      </c>
      <c r="G1145" s="324"/>
      <c r="H1145" s="308"/>
      <c r="I1145" s="241"/>
      <c r="J1145" s="301"/>
      <c r="K1145" s="323"/>
      <c r="L1145" s="68">
        <f t="shared" si="5"/>
        <v>48538957.8</v>
      </c>
    </row>
    <row r="1146" spans="1:12" s="171" customFormat="1" ht="15" customHeight="1" hidden="1">
      <c r="A1146" s="172" t="s">
        <v>432</v>
      </c>
      <c r="B1146" s="240" t="s">
        <v>414</v>
      </c>
      <c r="C1146" s="315"/>
      <c r="D1146" s="318"/>
      <c r="E1146" s="305" t="s">
        <v>74</v>
      </c>
      <c r="F1146" s="231">
        <v>7559279.42</v>
      </c>
      <c r="G1146" s="324"/>
      <c r="H1146" s="308"/>
      <c r="I1146" s="241"/>
      <c r="J1146" s="301"/>
      <c r="K1146" s="323"/>
      <c r="L1146" s="68">
        <f t="shared" si="5"/>
        <v>7559279.42</v>
      </c>
    </row>
    <row r="1147" spans="1:12" s="171" customFormat="1" ht="15" customHeight="1" hidden="1">
      <c r="A1147" s="191" t="s">
        <v>433</v>
      </c>
      <c r="B1147" s="240" t="s">
        <v>415</v>
      </c>
      <c r="C1147" s="315"/>
      <c r="D1147" s="318"/>
      <c r="E1147" s="305" t="s">
        <v>74</v>
      </c>
      <c r="F1147" s="231">
        <v>15053321.36</v>
      </c>
      <c r="G1147" s="324"/>
      <c r="H1147" s="308"/>
      <c r="I1147" s="241"/>
      <c r="J1147" s="301"/>
      <c r="K1147" s="323"/>
      <c r="L1147" s="68">
        <f t="shared" si="5"/>
        <v>15053321.36</v>
      </c>
    </row>
    <row r="1148" spans="1:12" s="171" customFormat="1" ht="15" customHeight="1" hidden="1">
      <c r="A1148" s="172" t="s">
        <v>434</v>
      </c>
      <c r="B1148" s="240" t="s">
        <v>416</v>
      </c>
      <c r="C1148" s="315"/>
      <c r="D1148" s="318"/>
      <c r="E1148" s="305" t="s">
        <v>74</v>
      </c>
      <c r="F1148" s="231">
        <v>7719366.48</v>
      </c>
      <c r="G1148" s="324"/>
      <c r="H1148" s="308"/>
      <c r="I1148" s="241"/>
      <c r="J1148" s="301"/>
      <c r="K1148" s="323"/>
      <c r="L1148" s="68">
        <f t="shared" si="5"/>
        <v>7719366.48</v>
      </c>
    </row>
    <row r="1149" spans="1:12" s="171" customFormat="1" ht="15" customHeight="1" hidden="1">
      <c r="A1149" s="191" t="s">
        <v>435</v>
      </c>
      <c r="B1149" s="240" t="s">
        <v>417</v>
      </c>
      <c r="C1149" s="315"/>
      <c r="D1149" s="318"/>
      <c r="E1149" s="305" t="s">
        <v>74</v>
      </c>
      <c r="F1149" s="231">
        <v>39580618.46</v>
      </c>
      <c r="G1149" s="324"/>
      <c r="H1149" s="308"/>
      <c r="I1149" s="241"/>
      <c r="J1149" s="301"/>
      <c r="K1149" s="323"/>
      <c r="L1149" s="68">
        <f t="shared" si="5"/>
        <v>39580618.46</v>
      </c>
    </row>
    <row r="1150" spans="1:12" s="171" customFormat="1" ht="15" customHeight="1" hidden="1">
      <c r="A1150" s="172" t="s">
        <v>436</v>
      </c>
      <c r="B1150" s="240" t="s">
        <v>418</v>
      </c>
      <c r="C1150" s="315"/>
      <c r="D1150" s="318"/>
      <c r="E1150" s="305" t="s">
        <v>74</v>
      </c>
      <c r="F1150" s="231">
        <v>21848937.82</v>
      </c>
      <c r="G1150" s="324"/>
      <c r="H1150" s="308"/>
      <c r="I1150" s="241"/>
      <c r="J1150" s="301"/>
      <c r="K1150" s="323"/>
      <c r="L1150" s="68">
        <f t="shared" si="5"/>
        <v>21848937.82</v>
      </c>
    </row>
    <row r="1151" spans="1:12" s="171" customFormat="1" ht="15" customHeight="1" hidden="1">
      <c r="A1151" s="191" t="s">
        <v>437</v>
      </c>
      <c r="B1151" s="240" t="s">
        <v>419</v>
      </c>
      <c r="C1151" s="315"/>
      <c r="D1151" s="318"/>
      <c r="E1151" s="305" t="s">
        <v>74</v>
      </c>
      <c r="F1151" s="231">
        <v>19426285.72</v>
      </c>
      <c r="G1151" s="324"/>
      <c r="H1151" s="308"/>
      <c r="I1151" s="241"/>
      <c r="J1151" s="301"/>
      <c r="K1151" s="323"/>
      <c r="L1151" s="68">
        <f t="shared" si="5"/>
        <v>19426285.72</v>
      </c>
    </row>
    <row r="1152" spans="1:12" s="171" customFormat="1" ht="15" customHeight="1" hidden="1">
      <c r="A1152" s="172" t="s">
        <v>438</v>
      </c>
      <c r="B1152" s="240" t="s">
        <v>420</v>
      </c>
      <c r="C1152" s="315"/>
      <c r="D1152" s="318"/>
      <c r="E1152" s="305" t="s">
        <v>74</v>
      </c>
      <c r="F1152" s="231">
        <v>16140547.4</v>
      </c>
      <c r="G1152" s="324"/>
      <c r="H1152" s="308"/>
      <c r="I1152" s="241"/>
      <c r="J1152" s="301"/>
      <c r="K1152" s="323"/>
      <c r="L1152" s="68">
        <f t="shared" si="5"/>
        <v>16140547.4</v>
      </c>
    </row>
    <row r="1153" spans="1:12" s="171" customFormat="1" ht="15" customHeight="1" hidden="1">
      <c r="A1153" s="191" t="s">
        <v>439</v>
      </c>
      <c r="B1153" s="240" t="s">
        <v>421</v>
      </c>
      <c r="C1153" s="315"/>
      <c r="D1153" s="318"/>
      <c r="E1153" s="305" t="s">
        <v>74</v>
      </c>
      <c r="F1153" s="231">
        <v>20262853.8</v>
      </c>
      <c r="G1153" s="324"/>
      <c r="H1153" s="308"/>
      <c r="I1153" s="241"/>
      <c r="J1153" s="301"/>
      <c r="K1153" s="323"/>
      <c r="L1153" s="68">
        <f t="shared" si="5"/>
        <v>20262853.8</v>
      </c>
    </row>
    <row r="1154" spans="1:12" s="171" customFormat="1" ht="15" customHeight="1" hidden="1">
      <c r="A1154" s="172" t="s">
        <v>440</v>
      </c>
      <c r="B1154" s="240" t="s">
        <v>422</v>
      </c>
      <c r="C1154" s="315"/>
      <c r="D1154" s="318"/>
      <c r="E1154" s="305" t="s">
        <v>74</v>
      </c>
      <c r="F1154" s="231">
        <v>18359863.08</v>
      </c>
      <c r="G1154" s="324"/>
      <c r="H1154" s="308"/>
      <c r="I1154" s="241"/>
      <c r="J1154" s="301"/>
      <c r="K1154" s="323"/>
      <c r="L1154" s="68">
        <f t="shared" si="5"/>
        <v>18359863.08</v>
      </c>
    </row>
    <row r="1155" spans="1:12" s="171" customFormat="1" ht="15" customHeight="1" hidden="1">
      <c r="A1155" s="191" t="s">
        <v>441</v>
      </c>
      <c r="B1155" s="240" t="s">
        <v>423</v>
      </c>
      <c r="C1155" s="315"/>
      <c r="D1155" s="318"/>
      <c r="E1155" s="316" t="s">
        <v>74</v>
      </c>
      <c r="F1155" s="242">
        <v>28027824.92</v>
      </c>
      <c r="G1155" s="324"/>
      <c r="H1155" s="334"/>
      <c r="I1155" s="243"/>
      <c r="J1155" s="301"/>
      <c r="K1155" s="309"/>
      <c r="L1155" s="68">
        <f t="shared" si="5"/>
        <v>28027824.92</v>
      </c>
    </row>
    <row r="1156" spans="1:12" s="171" customFormat="1" ht="20.25" customHeight="1" hidden="1">
      <c r="A1156" s="172" t="s">
        <v>424</v>
      </c>
      <c r="B1156" s="244" t="s">
        <v>86</v>
      </c>
      <c r="C1156" s="304"/>
      <c r="D1156" s="305"/>
      <c r="E1156" s="305" t="s">
        <v>74</v>
      </c>
      <c r="F1156" s="238">
        <f>500000000-SUM(F1139:F1155)</f>
        <v>82048838.00000006</v>
      </c>
      <c r="G1156" s="323"/>
      <c r="H1156" s="308"/>
      <c r="I1156" s="323"/>
      <c r="J1156" s="323">
        <f>100*(I1156/F1156)</f>
        <v>0</v>
      </c>
      <c r="K1156" s="323"/>
      <c r="L1156" s="68">
        <f t="shared" si="5"/>
        <v>82048838.00000006</v>
      </c>
    </row>
    <row r="1157" spans="1:12" s="171" customFormat="1" ht="15" hidden="1">
      <c r="A1157" s="448" t="s">
        <v>116</v>
      </c>
      <c r="B1157" s="373" t="s">
        <v>117</v>
      </c>
      <c r="C1157" s="427"/>
      <c r="D1157" s="403"/>
      <c r="E1157" s="127" t="s">
        <v>34</v>
      </c>
      <c r="F1157" s="165">
        <f>SUM(F1158:F1159)</f>
        <v>788440914.6500001</v>
      </c>
      <c r="G1157" s="378"/>
      <c r="H1157" s="588"/>
      <c r="I1157" s="333">
        <f>SUM(I1158:I1159)</f>
        <v>0</v>
      </c>
      <c r="J1157" s="502">
        <f>100*(I1157/F1157)</f>
        <v>0</v>
      </c>
      <c r="K1157" s="74">
        <f>SUM(K1158:K1159)</f>
        <v>0</v>
      </c>
      <c r="L1157" s="69">
        <f t="shared" si="5"/>
        <v>788440914.6500001</v>
      </c>
    </row>
    <row r="1158" spans="1:12" s="171" customFormat="1" ht="15" hidden="1">
      <c r="A1158" s="441"/>
      <c r="B1158" s="374"/>
      <c r="C1158" s="428"/>
      <c r="D1158" s="404"/>
      <c r="E1158" s="81" t="s">
        <v>75</v>
      </c>
      <c r="F1158" s="160">
        <f>F1161+F1164+F1167+F1171+F1174+F1177+F1180+F1183+F1186+F1189+F1192+F1195+F1198+F1242</f>
        <v>750000000.0000001</v>
      </c>
      <c r="G1158" s="379"/>
      <c r="H1158" s="589"/>
      <c r="I1158" s="71">
        <f>I1161+I1164+I1167+I1171+I1174+I1177+I1180+I1183+I1186+I1189+I1201+I1204+I1207+I1210</f>
        <v>0</v>
      </c>
      <c r="J1158" s="503"/>
      <c r="K1158" s="71">
        <f>K1161+K1164+K1167+K1171+K1174+K1177+K1180+K1183+K1186+K1189+K1201+K1204+K1207+K1210</f>
        <v>0</v>
      </c>
      <c r="L1158" s="69">
        <f t="shared" si="5"/>
        <v>750000000.0000001</v>
      </c>
    </row>
    <row r="1159" spans="1:12" s="171" customFormat="1" ht="15" hidden="1">
      <c r="A1159" s="441"/>
      <c r="B1159" s="374"/>
      <c r="C1159" s="429"/>
      <c r="D1159" s="405"/>
      <c r="E1159" s="81" t="s">
        <v>18</v>
      </c>
      <c r="F1159" s="160">
        <f>F1162+F1165+F1168+F1172+F1175+F1178+F1181+F1184+F1187+F1190+F1202+F1205+F1208+F1211</f>
        <v>38440914.65</v>
      </c>
      <c r="G1159" s="380"/>
      <c r="H1159" s="589"/>
      <c r="I1159" s="71">
        <f>I1162+I1165+I1168+I1172+I1175+I1178+I1181+I1184+I1187+I1190+I1202+I1205+I1208+I1211</f>
        <v>0</v>
      </c>
      <c r="J1159" s="504"/>
      <c r="K1159" s="71">
        <f>K1162+K1165+K1168+K1172+K1175+K1178+K1181+K1184+K1187+K1190+K1202+K1205+K1208+K1211</f>
        <v>0</v>
      </c>
      <c r="L1159" s="69">
        <f t="shared" si="5"/>
        <v>38440914.65</v>
      </c>
    </row>
    <row r="1160" spans="1:12" s="171" customFormat="1" ht="15" hidden="1">
      <c r="A1160" s="391" t="s">
        <v>118</v>
      </c>
      <c r="B1160" s="473" t="s">
        <v>347</v>
      </c>
      <c r="C1160" s="427"/>
      <c r="D1160" s="403"/>
      <c r="E1160" s="81" t="s">
        <v>34</v>
      </c>
      <c r="F1160" s="160">
        <f>SUM(F1161:F1162)</f>
        <v>26315788.88</v>
      </c>
      <c r="G1160" s="473"/>
      <c r="H1160" s="384"/>
      <c r="I1160" s="71">
        <f>SUM(I1161:I1162)</f>
        <v>0</v>
      </c>
      <c r="J1160" s="299">
        <f>100*(I1160/F1160)</f>
        <v>0</v>
      </c>
      <c r="K1160" s="71">
        <f>SUM(K1161:K1162)</f>
        <v>0</v>
      </c>
      <c r="L1160" s="68">
        <f t="shared" si="5"/>
        <v>26315788.88</v>
      </c>
    </row>
    <row r="1161" spans="1:12" s="171" customFormat="1" ht="15" hidden="1">
      <c r="A1161" s="391"/>
      <c r="B1161" s="474"/>
      <c r="C1161" s="428"/>
      <c r="D1161" s="404"/>
      <c r="E1161" s="305" t="s">
        <v>75</v>
      </c>
      <c r="F1161" s="231">
        <v>24999999.43</v>
      </c>
      <c r="G1161" s="474"/>
      <c r="H1161" s="384"/>
      <c r="I1161" s="233"/>
      <c r="J1161" s="309">
        <f>100*(I1161/F1161)</f>
        <v>0</v>
      </c>
      <c r="K1161" s="323"/>
      <c r="L1161" s="68">
        <f t="shared" si="5"/>
        <v>24999999.43</v>
      </c>
    </row>
    <row r="1162" spans="1:12" s="171" customFormat="1" ht="15" hidden="1">
      <c r="A1162" s="391"/>
      <c r="B1162" s="475"/>
      <c r="C1162" s="429"/>
      <c r="D1162" s="405"/>
      <c r="E1162" s="305" t="s">
        <v>18</v>
      </c>
      <c r="F1162" s="161">
        <v>1315789.4499999993</v>
      </c>
      <c r="G1162" s="475"/>
      <c r="H1162" s="384"/>
      <c r="I1162" s="72"/>
      <c r="J1162" s="309">
        <f>100*(I1162/F1162)</f>
        <v>0</v>
      </c>
      <c r="K1162" s="323"/>
      <c r="L1162" s="68">
        <f t="shared" si="5"/>
        <v>1315789.4499999993</v>
      </c>
    </row>
    <row r="1163" spans="1:12" s="171" customFormat="1" ht="15" hidden="1">
      <c r="A1163" s="590" t="s">
        <v>119</v>
      </c>
      <c r="B1163" s="476" t="s">
        <v>348</v>
      </c>
      <c r="C1163" s="427"/>
      <c r="D1163" s="403"/>
      <c r="E1163" s="81" t="s">
        <v>34</v>
      </c>
      <c r="F1163" s="160">
        <f>SUM(F1164:F1165)</f>
        <v>31679208.66</v>
      </c>
      <c r="G1163" s="473"/>
      <c r="H1163" s="384"/>
      <c r="I1163" s="71">
        <f>SUM(I1164:I1165)</f>
        <v>0</v>
      </c>
      <c r="J1163" s="502">
        <f>100*(I1163/F1163)</f>
        <v>0</v>
      </c>
      <c r="K1163" s="71">
        <f>SUM(K1164:K1165)</f>
        <v>0</v>
      </c>
      <c r="L1163" s="68">
        <f t="shared" si="5"/>
        <v>31679208.66</v>
      </c>
    </row>
    <row r="1164" spans="1:12" s="171" customFormat="1" ht="33.75" customHeight="1" hidden="1">
      <c r="A1164" s="542"/>
      <c r="B1164" s="477"/>
      <c r="C1164" s="428"/>
      <c r="D1164" s="404"/>
      <c r="E1164" s="305" t="s">
        <v>75</v>
      </c>
      <c r="F1164" s="231">
        <v>30000000</v>
      </c>
      <c r="G1164" s="474"/>
      <c r="H1164" s="384"/>
      <c r="I1164" s="233"/>
      <c r="J1164" s="503"/>
      <c r="K1164" s="323"/>
      <c r="L1164" s="68">
        <f t="shared" si="5"/>
        <v>30000000</v>
      </c>
    </row>
    <row r="1165" spans="1:12" s="171" customFormat="1" ht="27.75" customHeight="1" hidden="1">
      <c r="A1165" s="543"/>
      <c r="B1165" s="478"/>
      <c r="C1165" s="429"/>
      <c r="D1165" s="405"/>
      <c r="E1165" s="305" t="s">
        <v>18</v>
      </c>
      <c r="F1165" s="161">
        <v>1679208.6600000001</v>
      </c>
      <c r="G1165" s="474"/>
      <c r="H1165" s="384"/>
      <c r="I1165" s="72"/>
      <c r="J1165" s="504"/>
      <c r="K1165" s="323"/>
      <c r="L1165" s="68">
        <f t="shared" si="5"/>
        <v>1679208.6600000001</v>
      </c>
    </row>
    <row r="1166" spans="1:12" s="171" customFormat="1" ht="39" customHeight="1" hidden="1">
      <c r="A1166" s="541" t="s">
        <v>120</v>
      </c>
      <c r="B1166" s="449" t="s">
        <v>349</v>
      </c>
      <c r="C1166" s="427"/>
      <c r="D1166" s="403"/>
      <c r="E1166" s="81" t="s">
        <v>34</v>
      </c>
      <c r="F1166" s="160">
        <f>SUM(F1167:F1168)</f>
        <v>29999804.32</v>
      </c>
      <c r="G1166" s="474"/>
      <c r="H1166" s="384"/>
      <c r="I1166" s="71">
        <f>SUM(I1167:I1168)</f>
        <v>0</v>
      </c>
      <c r="J1166" s="432">
        <f>100*(I1166/F1166)</f>
        <v>0</v>
      </c>
      <c r="K1166" s="71">
        <f>SUM(K1167:K1168)</f>
        <v>0</v>
      </c>
      <c r="L1166" s="68">
        <f aca="true" t="shared" si="8" ref="L1166:L1196">F1166-K1166</f>
        <v>29999804.32</v>
      </c>
    </row>
    <row r="1167" spans="1:12" s="171" customFormat="1" ht="21.75" customHeight="1" hidden="1">
      <c r="A1167" s="542"/>
      <c r="B1167" s="450"/>
      <c r="C1167" s="428"/>
      <c r="D1167" s="404"/>
      <c r="E1167" s="305" t="s">
        <v>75</v>
      </c>
      <c r="F1167" s="231">
        <v>28499814</v>
      </c>
      <c r="G1167" s="474"/>
      <c r="H1167" s="323"/>
      <c r="I1167" s="233"/>
      <c r="J1167" s="433"/>
      <c r="K1167" s="323"/>
      <c r="L1167" s="68">
        <f t="shared" si="8"/>
        <v>28499814</v>
      </c>
    </row>
    <row r="1168" spans="1:12" s="171" customFormat="1" ht="27" customHeight="1" hidden="1">
      <c r="A1168" s="543"/>
      <c r="B1168" s="451"/>
      <c r="C1168" s="429"/>
      <c r="D1168" s="405"/>
      <c r="E1168" s="305" t="s">
        <v>18</v>
      </c>
      <c r="F1168" s="161">
        <v>1499990.3200000003</v>
      </c>
      <c r="G1168" s="475"/>
      <c r="H1168" s="323"/>
      <c r="I1168" s="72"/>
      <c r="J1168" s="434"/>
      <c r="K1168" s="323"/>
      <c r="L1168" s="68">
        <f t="shared" si="8"/>
        <v>1499990.3200000003</v>
      </c>
    </row>
    <row r="1169" spans="1:12" s="171" customFormat="1" ht="15" customHeight="1" hidden="1">
      <c r="A1169" s="406" t="s">
        <v>150</v>
      </c>
      <c r="B1169" s="473" t="s">
        <v>350</v>
      </c>
      <c r="C1169" s="427"/>
      <c r="D1169" s="403"/>
      <c r="E1169" s="81" t="s">
        <v>34</v>
      </c>
      <c r="F1169" s="160">
        <f>SUM(F1171:F1172)</f>
        <v>9458045.74</v>
      </c>
      <c r="G1169" s="473"/>
      <c r="H1169" s="323"/>
      <c r="I1169" s="71">
        <f>SUM(I1171:I1172)</f>
        <v>0</v>
      </c>
      <c r="J1169" s="502">
        <f>100*(I1169/F1169)</f>
        <v>0</v>
      </c>
      <c r="K1169" s="71">
        <f>SUM(K1170:K1172)</f>
        <v>0</v>
      </c>
      <c r="L1169" s="68">
        <f t="shared" si="8"/>
        <v>9458045.74</v>
      </c>
    </row>
    <row r="1170" spans="1:12" s="171" customFormat="1" ht="15" customHeight="1" hidden="1">
      <c r="A1170" s="407"/>
      <c r="B1170" s="474"/>
      <c r="C1170" s="428"/>
      <c r="D1170" s="404"/>
      <c r="E1170" s="305" t="s">
        <v>74</v>
      </c>
      <c r="F1170" s="161">
        <v>0</v>
      </c>
      <c r="G1170" s="474"/>
      <c r="H1170" s="323"/>
      <c r="I1170" s="72">
        <v>0</v>
      </c>
      <c r="J1170" s="503"/>
      <c r="K1170" s="71">
        <v>0</v>
      </c>
      <c r="L1170" s="68">
        <f t="shared" si="8"/>
        <v>0</v>
      </c>
    </row>
    <row r="1171" spans="1:12" s="171" customFormat="1" ht="15" customHeight="1" hidden="1">
      <c r="A1171" s="407"/>
      <c r="B1171" s="474"/>
      <c r="C1171" s="428"/>
      <c r="D1171" s="404"/>
      <c r="E1171" s="305" t="s">
        <v>75</v>
      </c>
      <c r="F1171" s="231">
        <v>8985143</v>
      </c>
      <c r="G1171" s="474"/>
      <c r="H1171" s="323"/>
      <c r="I1171" s="233"/>
      <c r="J1171" s="503"/>
      <c r="K1171" s="323"/>
      <c r="L1171" s="68">
        <f t="shared" si="8"/>
        <v>8985143</v>
      </c>
    </row>
    <row r="1172" spans="1:12" s="171" customFormat="1" ht="15" customHeight="1" hidden="1">
      <c r="A1172" s="408"/>
      <c r="B1172" s="475"/>
      <c r="C1172" s="429"/>
      <c r="D1172" s="405"/>
      <c r="E1172" s="305" t="s">
        <v>18</v>
      </c>
      <c r="F1172" s="161">
        <v>472902.7400000002</v>
      </c>
      <c r="G1172" s="475"/>
      <c r="H1172" s="323"/>
      <c r="I1172" s="72"/>
      <c r="J1172" s="504"/>
      <c r="K1172" s="323"/>
      <c r="L1172" s="68">
        <f t="shared" si="8"/>
        <v>472902.7400000002</v>
      </c>
    </row>
    <row r="1173" spans="1:12" s="171" customFormat="1" ht="15" customHeight="1" hidden="1">
      <c r="A1173" s="406" t="s">
        <v>151</v>
      </c>
      <c r="B1173" s="473" t="s">
        <v>351</v>
      </c>
      <c r="C1173" s="427"/>
      <c r="D1173" s="403"/>
      <c r="E1173" s="81" t="s">
        <v>34</v>
      </c>
      <c r="F1173" s="160">
        <f>SUM(F1174:F1175)</f>
        <v>10000325.36</v>
      </c>
      <c r="G1173" s="473"/>
      <c r="H1173" s="323"/>
      <c r="I1173" s="71">
        <f>SUM(I1174:I1175)</f>
        <v>0</v>
      </c>
      <c r="J1173" s="502">
        <f>100*(I1173/F1173)</f>
        <v>0</v>
      </c>
      <c r="K1173" s="71">
        <f>SUM(K1174:K1175)</f>
        <v>0</v>
      </c>
      <c r="L1173" s="68">
        <f t="shared" si="8"/>
        <v>10000325.36</v>
      </c>
    </row>
    <row r="1174" spans="1:12" s="171" customFormat="1" ht="15" hidden="1">
      <c r="A1174" s="407"/>
      <c r="B1174" s="474"/>
      <c r="C1174" s="428"/>
      <c r="D1174" s="404"/>
      <c r="E1174" s="305" t="s">
        <v>75</v>
      </c>
      <c r="F1174" s="231">
        <v>9500000</v>
      </c>
      <c r="G1174" s="474"/>
      <c r="H1174" s="323"/>
      <c r="I1174" s="233"/>
      <c r="J1174" s="503"/>
      <c r="K1174" s="323"/>
      <c r="L1174" s="68">
        <f t="shared" si="8"/>
        <v>9500000</v>
      </c>
    </row>
    <row r="1175" spans="1:12" s="171" customFormat="1" ht="15" customHeight="1" hidden="1">
      <c r="A1175" s="408"/>
      <c r="B1175" s="475"/>
      <c r="C1175" s="429"/>
      <c r="D1175" s="405"/>
      <c r="E1175" s="305" t="s">
        <v>18</v>
      </c>
      <c r="F1175" s="161">
        <v>500325.3599999994</v>
      </c>
      <c r="G1175" s="475"/>
      <c r="H1175" s="323"/>
      <c r="I1175" s="72"/>
      <c r="J1175" s="504"/>
      <c r="K1175" s="323"/>
      <c r="L1175" s="68">
        <f t="shared" si="8"/>
        <v>500325.3599999994</v>
      </c>
    </row>
    <row r="1176" spans="1:12" s="171" customFormat="1" ht="15" customHeight="1" hidden="1">
      <c r="A1176" s="406" t="s">
        <v>152</v>
      </c>
      <c r="B1176" s="473" t="s">
        <v>352</v>
      </c>
      <c r="C1176" s="427"/>
      <c r="D1176" s="403"/>
      <c r="E1176" s="81" t="s">
        <v>34</v>
      </c>
      <c r="F1176" s="160">
        <f>SUM(F1177:F1178)</f>
        <v>15750021.3</v>
      </c>
      <c r="G1176" s="473"/>
      <c r="H1176" s="323"/>
      <c r="I1176" s="71">
        <f>SUM(I1177:I1178)</f>
        <v>0</v>
      </c>
      <c r="J1176" s="299">
        <f aca="true" t="shared" si="9" ref="J1176:J1182">100*(I1176/F1176)</f>
        <v>0</v>
      </c>
      <c r="K1176" s="71">
        <f>SUM(K1177:K1178)</f>
        <v>0</v>
      </c>
      <c r="L1176" s="69">
        <f t="shared" si="8"/>
        <v>15750021.3</v>
      </c>
    </row>
    <row r="1177" spans="1:12" s="171" customFormat="1" ht="39.75" customHeight="1" hidden="1">
      <c r="A1177" s="407"/>
      <c r="B1177" s="474"/>
      <c r="C1177" s="428"/>
      <c r="D1177" s="404"/>
      <c r="E1177" s="305" t="s">
        <v>75</v>
      </c>
      <c r="F1177" s="231">
        <v>14962520.23</v>
      </c>
      <c r="G1177" s="474"/>
      <c r="H1177" s="323"/>
      <c r="I1177" s="245"/>
      <c r="J1177" s="309">
        <f t="shared" si="9"/>
        <v>0</v>
      </c>
      <c r="K1177" s="323"/>
      <c r="L1177" s="68">
        <f t="shared" si="8"/>
        <v>14962520.23</v>
      </c>
    </row>
    <row r="1178" spans="1:12" s="171" customFormat="1" ht="15" customHeight="1" hidden="1">
      <c r="A1178" s="408"/>
      <c r="B1178" s="475"/>
      <c r="C1178" s="429"/>
      <c r="D1178" s="405"/>
      <c r="E1178" s="305" t="s">
        <v>18</v>
      </c>
      <c r="F1178" s="161">
        <v>787501.0700000003</v>
      </c>
      <c r="G1178" s="475"/>
      <c r="H1178" s="323"/>
      <c r="I1178" s="72"/>
      <c r="J1178" s="309">
        <f t="shared" si="9"/>
        <v>0</v>
      </c>
      <c r="K1178" s="323"/>
      <c r="L1178" s="68">
        <f t="shared" si="8"/>
        <v>787501.0700000003</v>
      </c>
    </row>
    <row r="1179" spans="1:12" s="171" customFormat="1" ht="45" customHeight="1" hidden="1">
      <c r="A1179" s="406" t="s">
        <v>153</v>
      </c>
      <c r="B1179" s="473" t="s">
        <v>353</v>
      </c>
      <c r="C1179" s="427"/>
      <c r="D1179" s="403"/>
      <c r="E1179" s="81" t="s">
        <v>34</v>
      </c>
      <c r="F1179" s="160">
        <f>SUM(F1180:F1181)</f>
        <v>26514867.99</v>
      </c>
      <c r="G1179" s="473"/>
      <c r="H1179" s="323"/>
      <c r="I1179" s="71">
        <f>SUM(I1180:I1181)</f>
        <v>0</v>
      </c>
      <c r="J1179" s="299">
        <f t="shared" si="9"/>
        <v>0</v>
      </c>
      <c r="K1179" s="71">
        <f>SUM(K1180:K1181)</f>
        <v>0</v>
      </c>
      <c r="L1179" s="69">
        <f t="shared" si="8"/>
        <v>26514867.99</v>
      </c>
    </row>
    <row r="1180" spans="1:12" s="171" customFormat="1" ht="15" customHeight="1" hidden="1">
      <c r="A1180" s="407"/>
      <c r="B1180" s="474"/>
      <c r="C1180" s="428"/>
      <c r="D1180" s="404"/>
      <c r="E1180" s="305" t="s">
        <v>75</v>
      </c>
      <c r="F1180" s="231">
        <v>25000000</v>
      </c>
      <c r="G1180" s="474"/>
      <c r="H1180" s="323"/>
      <c r="I1180" s="245"/>
      <c r="J1180" s="309">
        <f t="shared" si="9"/>
        <v>0</v>
      </c>
      <c r="K1180" s="323"/>
      <c r="L1180" s="68">
        <f t="shared" si="8"/>
        <v>25000000</v>
      </c>
    </row>
    <row r="1181" spans="1:12" s="171" customFormat="1" ht="21" customHeight="1" hidden="1">
      <c r="A1181" s="408"/>
      <c r="B1181" s="475"/>
      <c r="C1181" s="429"/>
      <c r="D1181" s="405"/>
      <c r="E1181" s="305" t="s">
        <v>18</v>
      </c>
      <c r="F1181" s="161">
        <v>1514867.9899999984</v>
      </c>
      <c r="G1181" s="475"/>
      <c r="H1181" s="323"/>
      <c r="I1181" s="72"/>
      <c r="J1181" s="309">
        <f t="shared" si="9"/>
        <v>0</v>
      </c>
      <c r="K1181" s="323"/>
      <c r="L1181" s="68">
        <f t="shared" si="8"/>
        <v>1514867.9899999984</v>
      </c>
    </row>
    <row r="1182" spans="1:12" s="171" customFormat="1" ht="12.75" customHeight="1" hidden="1">
      <c r="A1182" s="406" t="s">
        <v>154</v>
      </c>
      <c r="B1182" s="473" t="s">
        <v>387</v>
      </c>
      <c r="C1182" s="427"/>
      <c r="D1182" s="403"/>
      <c r="E1182" s="81" t="s">
        <v>34</v>
      </c>
      <c r="F1182" s="160">
        <f>SUM(F1183:F1184)</f>
        <v>52631583.66</v>
      </c>
      <c r="G1182" s="473"/>
      <c r="H1182" s="323"/>
      <c r="I1182" s="71">
        <f>SUM(I1183:I1184)</f>
        <v>0</v>
      </c>
      <c r="J1182" s="502">
        <f t="shared" si="9"/>
        <v>0</v>
      </c>
      <c r="K1182" s="71">
        <f>SUM(K1183:K1184)</f>
        <v>0</v>
      </c>
      <c r="L1182" s="68">
        <f t="shared" si="8"/>
        <v>52631583.66</v>
      </c>
    </row>
    <row r="1183" spans="1:12" s="171" customFormat="1" ht="93.75" customHeight="1" hidden="1">
      <c r="A1183" s="407"/>
      <c r="B1183" s="474"/>
      <c r="C1183" s="428"/>
      <c r="D1183" s="404"/>
      <c r="E1183" s="305" t="s">
        <v>75</v>
      </c>
      <c r="F1183" s="231">
        <v>50000000</v>
      </c>
      <c r="G1183" s="474"/>
      <c r="H1183" s="323"/>
      <c r="I1183" s="233"/>
      <c r="J1183" s="503"/>
      <c r="K1183" s="323"/>
      <c r="L1183" s="68">
        <f t="shared" si="8"/>
        <v>50000000</v>
      </c>
    </row>
    <row r="1184" spans="1:12" s="171" customFormat="1" ht="140.25" customHeight="1" hidden="1">
      <c r="A1184" s="408"/>
      <c r="B1184" s="475"/>
      <c r="C1184" s="429"/>
      <c r="D1184" s="405"/>
      <c r="E1184" s="305" t="s">
        <v>18</v>
      </c>
      <c r="F1184" s="161">
        <v>2631583.6599999964</v>
      </c>
      <c r="G1184" s="475"/>
      <c r="H1184" s="323"/>
      <c r="I1184" s="72"/>
      <c r="J1184" s="504"/>
      <c r="K1184" s="323"/>
      <c r="L1184" s="68">
        <f t="shared" si="8"/>
        <v>2631583.6599999964</v>
      </c>
    </row>
    <row r="1185" spans="1:12" s="171" customFormat="1" ht="12.75" customHeight="1" hidden="1">
      <c r="A1185" s="406" t="s">
        <v>155</v>
      </c>
      <c r="B1185" s="473" t="s">
        <v>354</v>
      </c>
      <c r="C1185" s="427"/>
      <c r="D1185" s="403"/>
      <c r="E1185" s="81" t="s">
        <v>34</v>
      </c>
      <c r="F1185" s="160">
        <f>SUM(F1186:F1187)</f>
        <v>3711190.86</v>
      </c>
      <c r="G1185" s="473"/>
      <c r="H1185" s="323"/>
      <c r="I1185" s="71">
        <f>SUM(I1186:I1187)</f>
        <v>0</v>
      </c>
      <c r="J1185" s="502">
        <f>100*(I1185/F1185)</f>
        <v>0</v>
      </c>
      <c r="K1185" s="71">
        <f>SUM(K1186:K1187)</f>
        <v>0</v>
      </c>
      <c r="L1185" s="69">
        <f t="shared" si="8"/>
        <v>3711190.86</v>
      </c>
    </row>
    <row r="1186" spans="1:12" s="171" customFormat="1" ht="15" customHeight="1" hidden="1">
      <c r="A1186" s="407"/>
      <c r="B1186" s="474"/>
      <c r="C1186" s="428"/>
      <c r="D1186" s="404"/>
      <c r="E1186" s="305" t="s">
        <v>75</v>
      </c>
      <c r="F1186" s="231">
        <v>3500000</v>
      </c>
      <c r="G1186" s="474"/>
      <c r="H1186" s="323"/>
      <c r="I1186" s="233"/>
      <c r="J1186" s="503"/>
      <c r="K1186" s="323"/>
      <c r="L1186" s="68">
        <f t="shared" si="8"/>
        <v>3500000</v>
      </c>
    </row>
    <row r="1187" spans="1:12" s="171" customFormat="1" ht="15" customHeight="1" hidden="1">
      <c r="A1187" s="408"/>
      <c r="B1187" s="475"/>
      <c r="C1187" s="429"/>
      <c r="D1187" s="405"/>
      <c r="E1187" s="305" t="s">
        <v>18</v>
      </c>
      <c r="F1187" s="161">
        <v>211190.85999999987</v>
      </c>
      <c r="G1187" s="475"/>
      <c r="H1187" s="323"/>
      <c r="I1187" s="72"/>
      <c r="J1187" s="504"/>
      <c r="K1187" s="323"/>
      <c r="L1187" s="68">
        <f t="shared" si="8"/>
        <v>211190.85999999987</v>
      </c>
    </row>
    <row r="1188" spans="1:12" s="171" customFormat="1" ht="12.75" customHeight="1" hidden="1">
      <c r="A1188" s="406" t="s">
        <v>156</v>
      </c>
      <c r="B1188" s="473" t="s">
        <v>354</v>
      </c>
      <c r="C1188" s="427"/>
      <c r="D1188" s="403"/>
      <c r="E1188" s="81" t="s">
        <v>34</v>
      </c>
      <c r="F1188" s="160">
        <f>SUM(F1189:F1190)</f>
        <v>3065536.16</v>
      </c>
      <c r="G1188" s="473"/>
      <c r="H1188" s="323"/>
      <c r="I1188" s="71"/>
      <c r="J1188" s="299">
        <f>100*(I1188/F1188)</f>
        <v>0</v>
      </c>
      <c r="K1188" s="71"/>
      <c r="L1188" s="69">
        <f t="shared" si="8"/>
        <v>3065536.16</v>
      </c>
    </row>
    <row r="1189" spans="1:12" s="171" customFormat="1" ht="15" customHeight="1" hidden="1">
      <c r="A1189" s="407"/>
      <c r="B1189" s="474"/>
      <c r="C1189" s="428"/>
      <c r="D1189" s="404"/>
      <c r="E1189" s="305" t="s">
        <v>75</v>
      </c>
      <c r="F1189" s="231">
        <v>2900000</v>
      </c>
      <c r="G1189" s="474"/>
      <c r="H1189" s="323"/>
      <c r="I1189" s="323"/>
      <c r="J1189" s="309">
        <f>100*(I1189/F1189)</f>
        <v>0</v>
      </c>
      <c r="K1189" s="323"/>
      <c r="L1189" s="68">
        <f t="shared" si="8"/>
        <v>2900000</v>
      </c>
    </row>
    <row r="1190" spans="1:12" s="171" customFormat="1" ht="15" customHeight="1" hidden="1">
      <c r="A1190" s="408"/>
      <c r="B1190" s="475"/>
      <c r="C1190" s="429"/>
      <c r="D1190" s="405"/>
      <c r="E1190" s="305" t="s">
        <v>18</v>
      </c>
      <c r="F1190" s="161">
        <v>165536.16000000015</v>
      </c>
      <c r="G1190" s="475"/>
      <c r="H1190" s="323"/>
      <c r="I1190" s="323"/>
      <c r="J1190" s="309">
        <f>100*(I1190/F1190)</f>
        <v>0</v>
      </c>
      <c r="K1190" s="323"/>
      <c r="L1190" s="68">
        <f t="shared" si="8"/>
        <v>165536.16000000015</v>
      </c>
    </row>
    <row r="1191" spans="1:12" s="171" customFormat="1" ht="33" customHeight="1" hidden="1">
      <c r="A1191" s="406" t="s">
        <v>157</v>
      </c>
      <c r="B1191" s="436" t="s">
        <v>378</v>
      </c>
      <c r="C1191" s="427"/>
      <c r="D1191" s="403"/>
      <c r="E1191" s="305" t="s">
        <v>34</v>
      </c>
      <c r="F1191" s="160">
        <f>SUM(F1192:F1193)</f>
        <v>34236386.66</v>
      </c>
      <c r="G1191" s="517"/>
      <c r="H1191" s="323"/>
      <c r="I1191" s="71">
        <f>SUM(I1192:I1193)</f>
        <v>0</v>
      </c>
      <c r="J1191" s="432">
        <f>I1191/F1191*100</f>
        <v>0</v>
      </c>
      <c r="K1191" s="333">
        <f>SUM(K1192:K1193)</f>
        <v>0</v>
      </c>
      <c r="L1191" s="69">
        <f t="shared" si="8"/>
        <v>34236386.66</v>
      </c>
    </row>
    <row r="1192" spans="1:12" s="171" customFormat="1" ht="21" customHeight="1" hidden="1">
      <c r="A1192" s="407"/>
      <c r="B1192" s="437"/>
      <c r="C1192" s="428"/>
      <c r="D1192" s="404"/>
      <c r="E1192" s="305" t="s">
        <v>75</v>
      </c>
      <c r="F1192" s="246">
        <v>32524567</v>
      </c>
      <c r="G1192" s="518"/>
      <c r="H1192" s="323"/>
      <c r="I1192" s="323"/>
      <c r="J1192" s="433"/>
      <c r="K1192" s="323"/>
      <c r="L1192" s="68">
        <f t="shared" si="8"/>
        <v>32524567</v>
      </c>
    </row>
    <row r="1193" spans="1:12" s="171" customFormat="1" ht="29.25" customHeight="1" hidden="1">
      <c r="A1193" s="408"/>
      <c r="B1193" s="438"/>
      <c r="C1193" s="429"/>
      <c r="D1193" s="405"/>
      <c r="E1193" s="305" t="s">
        <v>18</v>
      </c>
      <c r="F1193" s="161">
        <v>1711819.6599999964</v>
      </c>
      <c r="G1193" s="519"/>
      <c r="H1193" s="323"/>
      <c r="I1193" s="323"/>
      <c r="J1193" s="434"/>
      <c r="K1193" s="323"/>
      <c r="L1193" s="68">
        <f t="shared" si="8"/>
        <v>1711819.6599999964</v>
      </c>
    </row>
    <row r="1194" spans="1:12" s="171" customFormat="1" ht="15" hidden="1">
      <c r="A1194" s="406" t="s">
        <v>158</v>
      </c>
      <c r="B1194" s="436" t="s">
        <v>379</v>
      </c>
      <c r="C1194" s="427"/>
      <c r="D1194" s="403"/>
      <c r="E1194" s="305" t="s">
        <v>34</v>
      </c>
      <c r="F1194" s="160">
        <f>SUM(F1195:F1196)</f>
        <v>26315790.06</v>
      </c>
      <c r="G1194" s="517"/>
      <c r="H1194" s="323"/>
      <c r="I1194" s="71">
        <f>SUM(I1195:I1196)</f>
        <v>0</v>
      </c>
      <c r="J1194" s="432">
        <f>I1194/F1194*100</f>
        <v>0</v>
      </c>
      <c r="K1194" s="333">
        <f>SUM(K1195:K1196)</f>
        <v>0</v>
      </c>
      <c r="L1194" s="69">
        <f t="shared" si="8"/>
        <v>26315790.06</v>
      </c>
    </row>
    <row r="1195" spans="1:12" s="171" customFormat="1" ht="23.25" customHeight="1" hidden="1">
      <c r="A1195" s="407"/>
      <c r="B1195" s="437"/>
      <c r="C1195" s="428"/>
      <c r="D1195" s="404"/>
      <c r="E1195" s="305" t="s">
        <v>75</v>
      </c>
      <c r="F1195" s="246">
        <v>25000000</v>
      </c>
      <c r="G1195" s="518"/>
      <c r="H1195" s="323"/>
      <c r="I1195" s="323"/>
      <c r="J1195" s="433"/>
      <c r="K1195" s="323"/>
      <c r="L1195" s="68">
        <f t="shared" si="8"/>
        <v>25000000</v>
      </c>
    </row>
    <row r="1196" spans="1:12" s="171" customFormat="1" ht="28.5" customHeight="1" hidden="1">
      <c r="A1196" s="408"/>
      <c r="B1196" s="438"/>
      <c r="C1196" s="429"/>
      <c r="D1196" s="405"/>
      <c r="E1196" s="305" t="s">
        <v>18</v>
      </c>
      <c r="F1196" s="161">
        <v>1315790.0599999987</v>
      </c>
      <c r="G1196" s="519"/>
      <c r="H1196" s="323"/>
      <c r="I1196" s="323"/>
      <c r="J1196" s="434"/>
      <c r="K1196" s="323"/>
      <c r="L1196" s="68">
        <f t="shared" si="8"/>
        <v>1315790.0599999987</v>
      </c>
    </row>
    <row r="1197" spans="1:12" s="171" customFormat="1" ht="15" customHeight="1" hidden="1">
      <c r="A1197" s="406"/>
      <c r="B1197" s="585" t="s">
        <v>355</v>
      </c>
      <c r="C1197" s="314"/>
      <c r="D1197" s="317"/>
      <c r="E1197" s="81" t="s">
        <v>34</v>
      </c>
      <c r="F1197" s="161">
        <f>F1198+F1199</f>
        <v>499999417.0799999</v>
      </c>
      <c r="G1197" s="286"/>
      <c r="H1197" s="323"/>
      <c r="I1197" s="323"/>
      <c r="J1197" s="309"/>
      <c r="K1197" s="323"/>
      <c r="L1197" s="68"/>
    </row>
    <row r="1198" spans="1:12" s="171" customFormat="1" ht="15" customHeight="1" hidden="1">
      <c r="A1198" s="407"/>
      <c r="B1198" s="586"/>
      <c r="C1198" s="314"/>
      <c r="D1198" s="317"/>
      <c r="E1198" s="305" t="s">
        <v>75</v>
      </c>
      <c r="F1198" s="161">
        <f>F1201+F1204+F1207+F1210+F1213+F1216+F1219+F1222+F1225+F1228+F1231+F1234+F1237+F1240</f>
        <v>449999417.0899999</v>
      </c>
      <c r="G1198" s="286"/>
      <c r="H1198" s="323"/>
      <c r="I1198" s="323"/>
      <c r="J1198" s="309"/>
      <c r="K1198" s="323"/>
      <c r="L1198" s="68"/>
    </row>
    <row r="1199" spans="1:12" s="171" customFormat="1" ht="15" customHeight="1" hidden="1">
      <c r="A1199" s="408"/>
      <c r="B1199" s="587"/>
      <c r="C1199" s="314"/>
      <c r="D1199" s="317"/>
      <c r="E1199" s="305" t="s">
        <v>18</v>
      </c>
      <c r="F1199" s="161">
        <f>F1202+F1205+F1208+F1211+F1214+F1217+F1220+F1223+F1226+F1229+F1232+F1235+F1238+F1241</f>
        <v>49999999.989999995</v>
      </c>
      <c r="G1199" s="286"/>
      <c r="H1199" s="323"/>
      <c r="I1199" s="323"/>
      <c r="J1199" s="309"/>
      <c r="K1199" s="323"/>
      <c r="L1199" s="68"/>
    </row>
    <row r="1200" spans="1:12" s="171" customFormat="1" ht="12.75" customHeight="1" hidden="1">
      <c r="A1200" s="406" t="s">
        <v>383</v>
      </c>
      <c r="B1200" s="473" t="s">
        <v>356</v>
      </c>
      <c r="C1200" s="427"/>
      <c r="D1200" s="403"/>
      <c r="E1200" s="81" t="s">
        <v>34</v>
      </c>
      <c r="F1200" s="160">
        <f>SUM(F1201:F1202)</f>
        <v>114149937.3</v>
      </c>
      <c r="G1200" s="473" t="s">
        <v>638</v>
      </c>
      <c r="H1200" s="323"/>
      <c r="I1200" s="71"/>
      <c r="J1200" s="299">
        <f>100*(I1200/F1200)</f>
        <v>0</v>
      </c>
      <c r="K1200" s="71"/>
      <c r="L1200" s="69">
        <f aca="true" t="shared" si="10" ref="L1200:L1241">F1200-K1200</f>
        <v>114149937.3</v>
      </c>
    </row>
    <row r="1201" spans="1:12" s="171" customFormat="1" ht="15" customHeight="1" hidden="1">
      <c r="A1201" s="407"/>
      <c r="B1201" s="474"/>
      <c r="C1201" s="428"/>
      <c r="D1201" s="404"/>
      <c r="E1201" s="305" t="s">
        <v>75</v>
      </c>
      <c r="F1201" s="231">
        <v>102734943.57</v>
      </c>
      <c r="G1201" s="474"/>
      <c r="H1201" s="323"/>
      <c r="I1201" s="323"/>
      <c r="J1201" s="309">
        <f>100*(I1201/F1201)</f>
        <v>0</v>
      </c>
      <c r="K1201" s="323"/>
      <c r="L1201" s="68">
        <f t="shared" si="10"/>
        <v>102734943.57</v>
      </c>
    </row>
    <row r="1202" spans="1:12" s="171" customFormat="1" ht="15" customHeight="1" hidden="1">
      <c r="A1202" s="408"/>
      <c r="B1202" s="475"/>
      <c r="C1202" s="429"/>
      <c r="D1202" s="405"/>
      <c r="E1202" s="305" t="s">
        <v>18</v>
      </c>
      <c r="F1202" s="161">
        <v>11414993.730000004</v>
      </c>
      <c r="G1202" s="475"/>
      <c r="H1202" s="323"/>
      <c r="I1202" s="323"/>
      <c r="J1202" s="309">
        <f>100*(I1202/F1202)</f>
        <v>0</v>
      </c>
      <c r="K1202" s="323"/>
      <c r="L1202" s="68">
        <f t="shared" si="10"/>
        <v>11414993.730000004</v>
      </c>
    </row>
    <row r="1203" spans="1:12" s="171" customFormat="1" ht="12.75" customHeight="1" hidden="1">
      <c r="A1203" s="406" t="s">
        <v>384</v>
      </c>
      <c r="B1203" s="473" t="s">
        <v>357</v>
      </c>
      <c r="C1203" s="427"/>
      <c r="D1203" s="403"/>
      <c r="E1203" s="81" t="s">
        <v>34</v>
      </c>
      <c r="F1203" s="160">
        <f>SUM(F1204:F1205)</f>
        <v>10799992.48</v>
      </c>
      <c r="G1203" s="473" t="s">
        <v>639</v>
      </c>
      <c r="H1203" s="323"/>
      <c r="I1203" s="71">
        <f>SUM(I1204:I1205)</f>
        <v>0</v>
      </c>
      <c r="J1203" s="502">
        <f>100*(I1203/F1203)</f>
        <v>0</v>
      </c>
      <c r="K1203" s="71">
        <f>SUM(K1204:K1205)</f>
        <v>0</v>
      </c>
      <c r="L1203" s="69">
        <f t="shared" si="10"/>
        <v>10799992.48</v>
      </c>
    </row>
    <row r="1204" spans="1:12" s="171" customFormat="1" ht="15" customHeight="1" hidden="1">
      <c r="A1204" s="407"/>
      <c r="B1204" s="474"/>
      <c r="C1204" s="428"/>
      <c r="D1204" s="404"/>
      <c r="E1204" s="305" t="s">
        <v>75</v>
      </c>
      <c r="F1204" s="231">
        <v>9719993.23</v>
      </c>
      <c r="G1204" s="474"/>
      <c r="H1204" s="323"/>
      <c r="I1204" s="233"/>
      <c r="J1204" s="503"/>
      <c r="K1204" s="323"/>
      <c r="L1204" s="68">
        <f t="shared" si="10"/>
        <v>9719993.23</v>
      </c>
    </row>
    <row r="1205" spans="1:12" s="171" customFormat="1" ht="15" customHeight="1" hidden="1">
      <c r="A1205" s="408"/>
      <c r="B1205" s="475"/>
      <c r="C1205" s="429"/>
      <c r="D1205" s="405"/>
      <c r="E1205" s="305" t="s">
        <v>18</v>
      </c>
      <c r="F1205" s="161">
        <v>1079999.25</v>
      </c>
      <c r="G1205" s="475"/>
      <c r="H1205" s="323"/>
      <c r="I1205" s="72"/>
      <c r="J1205" s="504"/>
      <c r="K1205" s="323"/>
      <c r="L1205" s="68">
        <f t="shared" si="10"/>
        <v>1079999.25</v>
      </c>
    </row>
    <row r="1206" spans="1:12" s="171" customFormat="1" ht="15" hidden="1">
      <c r="A1206" s="406" t="s">
        <v>385</v>
      </c>
      <c r="B1206" s="449" t="s">
        <v>358</v>
      </c>
      <c r="C1206" s="427"/>
      <c r="D1206" s="403"/>
      <c r="E1206" s="81" t="s">
        <v>34</v>
      </c>
      <c r="F1206" s="160">
        <f>SUM(F1207:F1208)</f>
        <v>73529977.2</v>
      </c>
      <c r="G1206" s="473" t="s">
        <v>640</v>
      </c>
      <c r="H1206" s="432"/>
      <c r="I1206" s="71">
        <f>SUM(I1207:I1208)</f>
        <v>0</v>
      </c>
      <c r="J1206" s="432">
        <f>100*(I1206/F1206)</f>
        <v>0</v>
      </c>
      <c r="K1206" s="71">
        <f>SUM(K1207:K1208)</f>
        <v>0</v>
      </c>
      <c r="L1206" s="69">
        <f t="shared" si="10"/>
        <v>73529977.2</v>
      </c>
    </row>
    <row r="1207" spans="1:12" s="171" customFormat="1" ht="15" hidden="1">
      <c r="A1207" s="407"/>
      <c r="B1207" s="450"/>
      <c r="C1207" s="428"/>
      <c r="D1207" s="404"/>
      <c r="E1207" s="305" t="s">
        <v>75</v>
      </c>
      <c r="F1207" s="237">
        <v>66176979.48</v>
      </c>
      <c r="G1207" s="474"/>
      <c r="H1207" s="433"/>
      <c r="I1207" s="247"/>
      <c r="J1207" s="433"/>
      <c r="K1207" s="323"/>
      <c r="L1207" s="68">
        <f t="shared" si="10"/>
        <v>66176979.48</v>
      </c>
    </row>
    <row r="1208" spans="1:12" s="171" customFormat="1" ht="15" hidden="1">
      <c r="A1208" s="408"/>
      <c r="B1208" s="451"/>
      <c r="C1208" s="429"/>
      <c r="D1208" s="405"/>
      <c r="E1208" s="305" t="s">
        <v>18</v>
      </c>
      <c r="F1208" s="161">
        <v>7352997.720000006</v>
      </c>
      <c r="G1208" s="475"/>
      <c r="H1208" s="433"/>
      <c r="I1208" s="72"/>
      <c r="J1208" s="434"/>
      <c r="K1208" s="323"/>
      <c r="L1208" s="68">
        <f t="shared" si="10"/>
        <v>7352997.720000006</v>
      </c>
    </row>
    <row r="1209" spans="1:12" s="171" customFormat="1" ht="15" hidden="1">
      <c r="A1209" s="505" t="s">
        <v>386</v>
      </c>
      <c r="B1209" s="436" t="s">
        <v>359</v>
      </c>
      <c r="C1209" s="427"/>
      <c r="D1209" s="403"/>
      <c r="E1209" s="305" t="s">
        <v>34</v>
      </c>
      <c r="F1209" s="160">
        <f>SUM(F1210:F1211)</f>
        <v>78140276.8</v>
      </c>
      <c r="G1209" s="473" t="s">
        <v>640</v>
      </c>
      <c r="H1209" s="433"/>
      <c r="I1209" s="71">
        <f>SUM(I1210:I1211)</f>
        <v>0</v>
      </c>
      <c r="J1209" s="432">
        <f>I1209/F1209*100</f>
        <v>0</v>
      </c>
      <c r="K1209" s="333">
        <f>SUM(K1210:K1211)</f>
        <v>0</v>
      </c>
      <c r="L1209" s="69">
        <f t="shared" si="10"/>
        <v>78140276.8</v>
      </c>
    </row>
    <row r="1210" spans="1:12" s="171" customFormat="1" ht="18" customHeight="1" hidden="1">
      <c r="A1210" s="479"/>
      <c r="B1210" s="437"/>
      <c r="C1210" s="428"/>
      <c r="D1210" s="404"/>
      <c r="E1210" s="305" t="s">
        <v>75</v>
      </c>
      <c r="F1210" s="246">
        <v>70326249.12</v>
      </c>
      <c r="G1210" s="474"/>
      <c r="H1210" s="434"/>
      <c r="I1210" s="323"/>
      <c r="J1210" s="433"/>
      <c r="K1210" s="323"/>
      <c r="L1210" s="68">
        <f t="shared" si="10"/>
        <v>70326249.12</v>
      </c>
    </row>
    <row r="1211" spans="1:12" s="171" customFormat="1" ht="18.75" customHeight="1" hidden="1">
      <c r="A1211" s="480"/>
      <c r="B1211" s="438"/>
      <c r="C1211" s="429"/>
      <c r="D1211" s="405"/>
      <c r="E1211" s="305" t="s">
        <v>18</v>
      </c>
      <c r="F1211" s="161">
        <v>7814027.679999992</v>
      </c>
      <c r="G1211" s="475"/>
      <c r="H1211" s="323"/>
      <c r="I1211" s="323"/>
      <c r="J1211" s="434"/>
      <c r="K1211" s="323"/>
      <c r="L1211" s="68">
        <f t="shared" si="10"/>
        <v>7814027.679999992</v>
      </c>
    </row>
    <row r="1212" spans="1:12" s="171" customFormat="1" ht="15" hidden="1">
      <c r="A1212" s="406" t="s">
        <v>370</v>
      </c>
      <c r="B1212" s="436" t="s">
        <v>360</v>
      </c>
      <c r="C1212" s="427"/>
      <c r="D1212" s="403"/>
      <c r="E1212" s="305" t="s">
        <v>34</v>
      </c>
      <c r="F1212" s="160">
        <f>SUM(F1213:F1214)</f>
        <v>19819985.64</v>
      </c>
      <c r="G1212" s="473" t="s">
        <v>641</v>
      </c>
      <c r="H1212" s="323"/>
      <c r="I1212" s="71">
        <f>SUM(I1213:I1214)</f>
        <v>0</v>
      </c>
      <c r="J1212" s="432">
        <f>I1212/F1212*100</f>
        <v>0</v>
      </c>
      <c r="K1212" s="333">
        <f>SUM(K1213:K1214)</f>
        <v>0</v>
      </c>
      <c r="L1212" s="69">
        <f t="shared" si="10"/>
        <v>19819985.64</v>
      </c>
    </row>
    <row r="1213" spans="1:12" s="171" customFormat="1" ht="23.25" customHeight="1" hidden="1">
      <c r="A1213" s="407"/>
      <c r="B1213" s="437"/>
      <c r="C1213" s="428"/>
      <c r="D1213" s="404"/>
      <c r="E1213" s="305" t="s">
        <v>75</v>
      </c>
      <c r="F1213" s="246">
        <v>17837972.51</v>
      </c>
      <c r="G1213" s="474"/>
      <c r="H1213" s="323"/>
      <c r="I1213" s="323"/>
      <c r="J1213" s="433"/>
      <c r="K1213" s="323"/>
      <c r="L1213" s="68">
        <f t="shared" si="10"/>
        <v>17837972.51</v>
      </c>
    </row>
    <row r="1214" spans="1:12" s="171" customFormat="1" ht="18" customHeight="1" hidden="1">
      <c r="A1214" s="408"/>
      <c r="B1214" s="438"/>
      <c r="C1214" s="429"/>
      <c r="D1214" s="405"/>
      <c r="E1214" s="305" t="s">
        <v>18</v>
      </c>
      <c r="F1214" s="161">
        <v>1982013.129999999</v>
      </c>
      <c r="G1214" s="475"/>
      <c r="H1214" s="323"/>
      <c r="I1214" s="323"/>
      <c r="J1214" s="434"/>
      <c r="K1214" s="323"/>
      <c r="L1214" s="68">
        <f t="shared" si="10"/>
        <v>1982013.129999999</v>
      </c>
    </row>
    <row r="1215" spans="1:12" s="171" customFormat="1" ht="15" hidden="1">
      <c r="A1215" s="406" t="s">
        <v>371</v>
      </c>
      <c r="B1215" s="436" t="s">
        <v>361</v>
      </c>
      <c r="C1215" s="427"/>
      <c r="D1215" s="403"/>
      <c r="E1215" s="305" t="s">
        <v>34</v>
      </c>
      <c r="F1215" s="160">
        <f>SUM(F1216:F1217)</f>
        <v>14749991.74</v>
      </c>
      <c r="G1215" s="473" t="s">
        <v>642</v>
      </c>
      <c r="H1215" s="323"/>
      <c r="I1215" s="71">
        <f>SUM(I1216:I1217)</f>
        <v>0</v>
      </c>
      <c r="J1215" s="432">
        <f>I1215/F1215*100</f>
        <v>0</v>
      </c>
      <c r="K1215" s="333">
        <f>SUM(K1216:K1217)</f>
        <v>0</v>
      </c>
      <c r="L1215" s="69">
        <f t="shared" si="10"/>
        <v>14749991.74</v>
      </c>
    </row>
    <row r="1216" spans="1:12" s="171" customFormat="1" ht="23.25" customHeight="1" hidden="1">
      <c r="A1216" s="407"/>
      <c r="B1216" s="437"/>
      <c r="C1216" s="428"/>
      <c r="D1216" s="404"/>
      <c r="E1216" s="305" t="s">
        <v>75</v>
      </c>
      <c r="F1216" s="246">
        <v>13274978</v>
      </c>
      <c r="G1216" s="474"/>
      <c r="H1216" s="323"/>
      <c r="I1216" s="323"/>
      <c r="J1216" s="433"/>
      <c r="K1216" s="323"/>
      <c r="L1216" s="68">
        <f t="shared" si="10"/>
        <v>13274978</v>
      </c>
    </row>
    <row r="1217" spans="1:12" s="171" customFormat="1" ht="18" customHeight="1" hidden="1">
      <c r="A1217" s="408"/>
      <c r="B1217" s="438"/>
      <c r="C1217" s="429"/>
      <c r="D1217" s="405"/>
      <c r="E1217" s="305" t="s">
        <v>18</v>
      </c>
      <c r="F1217" s="161">
        <v>1475013.7400000002</v>
      </c>
      <c r="G1217" s="475"/>
      <c r="H1217" s="323"/>
      <c r="I1217" s="323"/>
      <c r="J1217" s="434"/>
      <c r="K1217" s="323"/>
      <c r="L1217" s="68">
        <f t="shared" si="10"/>
        <v>1475013.7400000002</v>
      </c>
    </row>
    <row r="1218" spans="1:12" s="171" customFormat="1" ht="15" hidden="1">
      <c r="A1218" s="406" t="s">
        <v>372</v>
      </c>
      <c r="B1218" s="436" t="s">
        <v>362</v>
      </c>
      <c r="C1218" s="427"/>
      <c r="D1218" s="403"/>
      <c r="E1218" s="305" t="s">
        <v>34</v>
      </c>
      <c r="F1218" s="160">
        <f>SUM(F1219:F1220)</f>
        <v>16219974.38</v>
      </c>
      <c r="G1218" s="473" t="s">
        <v>638</v>
      </c>
      <c r="H1218" s="323"/>
      <c r="I1218" s="71">
        <f>SUM(I1219:I1220)</f>
        <v>0</v>
      </c>
      <c r="J1218" s="432">
        <f>I1218/F1218*100</f>
        <v>0</v>
      </c>
      <c r="K1218" s="333">
        <f>SUM(K1219:K1220)</f>
        <v>0</v>
      </c>
      <c r="L1218" s="69">
        <f t="shared" si="10"/>
        <v>16219974.38</v>
      </c>
    </row>
    <row r="1219" spans="1:12" s="171" customFormat="1" ht="23.25" customHeight="1" hidden="1">
      <c r="A1219" s="407"/>
      <c r="B1219" s="437"/>
      <c r="C1219" s="428"/>
      <c r="D1219" s="404"/>
      <c r="E1219" s="305" t="s">
        <v>75</v>
      </c>
      <c r="F1219" s="246">
        <v>14597976.94</v>
      </c>
      <c r="G1219" s="474"/>
      <c r="H1219" s="323"/>
      <c r="I1219" s="323"/>
      <c r="J1219" s="433"/>
      <c r="K1219" s="323"/>
      <c r="L1219" s="68">
        <f t="shared" si="10"/>
        <v>14597976.94</v>
      </c>
    </row>
    <row r="1220" spans="1:12" s="171" customFormat="1" ht="18" customHeight="1" hidden="1">
      <c r="A1220" s="408"/>
      <c r="B1220" s="438"/>
      <c r="C1220" s="429"/>
      <c r="D1220" s="405"/>
      <c r="E1220" s="305" t="s">
        <v>18</v>
      </c>
      <c r="F1220" s="161">
        <v>1621997.4400000013</v>
      </c>
      <c r="G1220" s="475"/>
      <c r="H1220" s="323"/>
      <c r="I1220" s="323"/>
      <c r="J1220" s="434"/>
      <c r="K1220" s="323"/>
      <c r="L1220" s="68">
        <f t="shared" si="10"/>
        <v>1621997.4400000013</v>
      </c>
    </row>
    <row r="1221" spans="1:12" s="171" customFormat="1" ht="15" hidden="1">
      <c r="A1221" s="406" t="s">
        <v>373</v>
      </c>
      <c r="B1221" s="436" t="s">
        <v>363</v>
      </c>
      <c r="C1221" s="427"/>
      <c r="D1221" s="403"/>
      <c r="E1221" s="305" t="s">
        <v>34</v>
      </c>
      <c r="F1221" s="160">
        <f>SUM(F1222:F1223)</f>
        <v>38149987.64</v>
      </c>
      <c r="G1221" s="473" t="s">
        <v>639</v>
      </c>
      <c r="H1221" s="323"/>
      <c r="I1221" s="71">
        <f>SUM(I1222:I1223)</f>
        <v>0</v>
      </c>
      <c r="J1221" s="432">
        <f>I1221/F1221*100</f>
        <v>0</v>
      </c>
      <c r="K1221" s="333">
        <f>SUM(K1222:K1223)</f>
        <v>0</v>
      </c>
      <c r="L1221" s="69">
        <f t="shared" si="10"/>
        <v>38149987.64</v>
      </c>
    </row>
    <row r="1222" spans="1:12" s="171" customFormat="1" ht="23.25" customHeight="1" hidden="1">
      <c r="A1222" s="407"/>
      <c r="B1222" s="437"/>
      <c r="C1222" s="428"/>
      <c r="D1222" s="404"/>
      <c r="E1222" s="305" t="s">
        <v>75</v>
      </c>
      <c r="F1222" s="246">
        <v>34334974.31</v>
      </c>
      <c r="G1222" s="474"/>
      <c r="H1222" s="323"/>
      <c r="I1222" s="323"/>
      <c r="J1222" s="433"/>
      <c r="K1222" s="323"/>
      <c r="L1222" s="68">
        <f t="shared" si="10"/>
        <v>34334974.31</v>
      </c>
    </row>
    <row r="1223" spans="1:12" s="171" customFormat="1" ht="18" customHeight="1" hidden="1">
      <c r="A1223" s="408"/>
      <c r="B1223" s="438"/>
      <c r="C1223" s="429"/>
      <c r="D1223" s="405"/>
      <c r="E1223" s="305" t="s">
        <v>18</v>
      </c>
      <c r="F1223" s="161">
        <v>3815013.329999998</v>
      </c>
      <c r="G1223" s="475"/>
      <c r="H1223" s="323"/>
      <c r="I1223" s="323"/>
      <c r="J1223" s="434"/>
      <c r="K1223" s="323"/>
      <c r="L1223" s="68">
        <f t="shared" si="10"/>
        <v>3815013.329999998</v>
      </c>
    </row>
    <row r="1224" spans="1:12" s="171" customFormat="1" ht="15" hidden="1">
      <c r="A1224" s="406" t="s">
        <v>374</v>
      </c>
      <c r="B1224" s="436" t="s">
        <v>364</v>
      </c>
      <c r="C1224" s="427"/>
      <c r="D1224" s="403"/>
      <c r="E1224" s="305" t="s">
        <v>34</v>
      </c>
      <c r="F1224" s="160">
        <f>SUM(F1225:F1226)</f>
        <v>22949962.78</v>
      </c>
      <c r="G1224" s="473" t="s">
        <v>643</v>
      </c>
      <c r="H1224" s="323"/>
      <c r="I1224" s="71">
        <f>SUM(I1225:I1226)</f>
        <v>0</v>
      </c>
      <c r="J1224" s="432">
        <f>I1224/F1224*100</f>
        <v>0</v>
      </c>
      <c r="K1224" s="333">
        <f>SUM(K1225:K1226)</f>
        <v>0</v>
      </c>
      <c r="L1224" s="69">
        <f t="shared" si="10"/>
        <v>22949962.78</v>
      </c>
    </row>
    <row r="1225" spans="1:12" s="171" customFormat="1" ht="23.25" customHeight="1" hidden="1">
      <c r="A1225" s="407"/>
      <c r="B1225" s="437"/>
      <c r="C1225" s="428"/>
      <c r="D1225" s="404"/>
      <c r="E1225" s="305" t="s">
        <v>75</v>
      </c>
      <c r="F1225" s="246">
        <v>20654966.5</v>
      </c>
      <c r="G1225" s="474"/>
      <c r="H1225" s="323"/>
      <c r="I1225" s="323"/>
      <c r="J1225" s="433"/>
      <c r="K1225" s="323"/>
      <c r="L1225" s="68">
        <f t="shared" si="10"/>
        <v>20654966.5</v>
      </c>
    </row>
    <row r="1226" spans="1:12" s="171" customFormat="1" ht="18" customHeight="1" hidden="1">
      <c r="A1226" s="408"/>
      <c r="B1226" s="438"/>
      <c r="C1226" s="429"/>
      <c r="D1226" s="405"/>
      <c r="E1226" s="305" t="s">
        <v>18</v>
      </c>
      <c r="F1226" s="161">
        <v>2294996.280000001</v>
      </c>
      <c r="G1226" s="475"/>
      <c r="H1226" s="323"/>
      <c r="I1226" s="323"/>
      <c r="J1226" s="434"/>
      <c r="K1226" s="323"/>
      <c r="L1226" s="68">
        <f t="shared" si="10"/>
        <v>2294996.280000001</v>
      </c>
    </row>
    <row r="1227" spans="1:12" s="171" customFormat="1" ht="15" hidden="1">
      <c r="A1227" s="406" t="s">
        <v>375</v>
      </c>
      <c r="B1227" s="436" t="s">
        <v>365</v>
      </c>
      <c r="C1227" s="427"/>
      <c r="D1227" s="403"/>
      <c r="E1227" s="305" t="s">
        <v>34</v>
      </c>
      <c r="F1227" s="160">
        <f>SUM(F1228:F1229)</f>
        <v>8839783.56</v>
      </c>
      <c r="G1227" s="473" t="s">
        <v>641</v>
      </c>
      <c r="H1227" s="323"/>
      <c r="I1227" s="71">
        <f>SUM(I1228:I1229)</f>
        <v>0</v>
      </c>
      <c r="J1227" s="432">
        <f>I1227/F1227*100</f>
        <v>0</v>
      </c>
      <c r="K1227" s="333">
        <f>SUM(K1228:K1229)</f>
        <v>0</v>
      </c>
      <c r="L1227" s="69">
        <f t="shared" si="10"/>
        <v>8839783.56</v>
      </c>
    </row>
    <row r="1228" spans="1:12" s="171" customFormat="1" ht="17.25" customHeight="1" hidden="1">
      <c r="A1228" s="407"/>
      <c r="B1228" s="437"/>
      <c r="C1228" s="428"/>
      <c r="D1228" s="404"/>
      <c r="E1228" s="305" t="s">
        <v>75</v>
      </c>
      <c r="F1228" s="246">
        <v>7955805.2</v>
      </c>
      <c r="G1228" s="474"/>
      <c r="H1228" s="323"/>
      <c r="I1228" s="323"/>
      <c r="J1228" s="433"/>
      <c r="K1228" s="323"/>
      <c r="L1228" s="68">
        <f t="shared" si="10"/>
        <v>7955805.2</v>
      </c>
    </row>
    <row r="1229" spans="1:12" s="171" customFormat="1" ht="18" customHeight="1" hidden="1">
      <c r="A1229" s="408"/>
      <c r="B1229" s="438"/>
      <c r="C1229" s="429"/>
      <c r="D1229" s="405"/>
      <c r="E1229" s="305" t="s">
        <v>18</v>
      </c>
      <c r="F1229" s="161">
        <v>883978.3600000003</v>
      </c>
      <c r="G1229" s="475"/>
      <c r="H1229" s="323"/>
      <c r="I1229" s="323"/>
      <c r="J1229" s="434"/>
      <c r="K1229" s="323"/>
      <c r="L1229" s="68">
        <f t="shared" si="10"/>
        <v>883978.3600000003</v>
      </c>
    </row>
    <row r="1230" spans="1:12" s="171" customFormat="1" ht="15" hidden="1">
      <c r="A1230" s="406" t="s">
        <v>376</v>
      </c>
      <c r="B1230" s="436" t="s">
        <v>366</v>
      </c>
      <c r="C1230" s="427"/>
      <c r="D1230" s="403"/>
      <c r="E1230" s="305" t="s">
        <v>34</v>
      </c>
      <c r="F1230" s="160">
        <f>SUM(F1231:F1232)</f>
        <v>13879998.98</v>
      </c>
      <c r="G1230" s="473" t="s">
        <v>638</v>
      </c>
      <c r="H1230" s="323"/>
      <c r="I1230" s="71">
        <f>SUM(I1231:I1232)</f>
        <v>0</v>
      </c>
      <c r="J1230" s="432">
        <f>I1230/F1230*100</f>
        <v>0</v>
      </c>
      <c r="K1230" s="333">
        <f>SUM(K1231:K1232)</f>
        <v>0</v>
      </c>
      <c r="L1230" s="69">
        <f t="shared" si="10"/>
        <v>13879998.98</v>
      </c>
    </row>
    <row r="1231" spans="1:12" s="171" customFormat="1" ht="23.25" customHeight="1" hidden="1">
      <c r="A1231" s="407"/>
      <c r="B1231" s="437"/>
      <c r="C1231" s="428"/>
      <c r="D1231" s="404"/>
      <c r="E1231" s="305" t="s">
        <v>75</v>
      </c>
      <c r="F1231" s="246">
        <v>12491999.08</v>
      </c>
      <c r="G1231" s="474"/>
      <c r="H1231" s="323"/>
      <c r="I1231" s="323"/>
      <c r="J1231" s="433"/>
      <c r="K1231" s="323"/>
      <c r="L1231" s="68">
        <f t="shared" si="10"/>
        <v>12491999.08</v>
      </c>
    </row>
    <row r="1232" spans="1:12" s="171" customFormat="1" ht="18" customHeight="1" hidden="1">
      <c r="A1232" s="408"/>
      <c r="B1232" s="438"/>
      <c r="C1232" s="429"/>
      <c r="D1232" s="405"/>
      <c r="E1232" s="305" t="s">
        <v>18</v>
      </c>
      <c r="F1232" s="161">
        <v>1387999.9000000004</v>
      </c>
      <c r="G1232" s="475"/>
      <c r="H1232" s="323"/>
      <c r="I1232" s="323"/>
      <c r="J1232" s="434"/>
      <c r="K1232" s="323"/>
      <c r="L1232" s="68">
        <f t="shared" si="10"/>
        <v>1387999.9000000004</v>
      </c>
    </row>
    <row r="1233" spans="1:12" s="171" customFormat="1" ht="15" hidden="1">
      <c r="A1233" s="406" t="s">
        <v>377</v>
      </c>
      <c r="B1233" s="436" t="s">
        <v>367</v>
      </c>
      <c r="C1233" s="427"/>
      <c r="D1233" s="403"/>
      <c r="E1233" s="305" t="s">
        <v>34</v>
      </c>
      <c r="F1233" s="160">
        <f>SUM(F1234:F1235)</f>
        <v>17819995.38</v>
      </c>
      <c r="G1233" s="473" t="s">
        <v>644</v>
      </c>
      <c r="H1233" s="323"/>
      <c r="I1233" s="71">
        <f>SUM(I1234:I1235)</f>
        <v>0</v>
      </c>
      <c r="J1233" s="432">
        <f>I1233/F1233*100</f>
        <v>0</v>
      </c>
      <c r="K1233" s="333">
        <f>SUM(K1234:K1235)</f>
        <v>0</v>
      </c>
      <c r="L1233" s="69">
        <f t="shared" si="10"/>
        <v>17819995.38</v>
      </c>
    </row>
    <row r="1234" spans="1:12" s="171" customFormat="1" ht="23.25" customHeight="1" hidden="1">
      <c r="A1234" s="407"/>
      <c r="B1234" s="437"/>
      <c r="C1234" s="428"/>
      <c r="D1234" s="404"/>
      <c r="E1234" s="305" t="s">
        <v>75</v>
      </c>
      <c r="F1234" s="246">
        <v>16037995.84</v>
      </c>
      <c r="G1234" s="474"/>
      <c r="H1234" s="323"/>
      <c r="I1234" s="323"/>
      <c r="J1234" s="433"/>
      <c r="K1234" s="323"/>
      <c r="L1234" s="68">
        <f t="shared" si="10"/>
        <v>16037995.84</v>
      </c>
    </row>
    <row r="1235" spans="1:12" s="171" customFormat="1" ht="18" customHeight="1" hidden="1">
      <c r="A1235" s="408"/>
      <c r="B1235" s="438"/>
      <c r="C1235" s="429"/>
      <c r="D1235" s="405"/>
      <c r="E1235" s="305" t="s">
        <v>18</v>
      </c>
      <c r="F1235" s="161">
        <v>1781999.539999999</v>
      </c>
      <c r="G1235" s="475"/>
      <c r="H1235" s="323"/>
      <c r="I1235" s="323"/>
      <c r="J1235" s="434"/>
      <c r="K1235" s="323"/>
      <c r="L1235" s="68">
        <f t="shared" si="10"/>
        <v>1781999.539999999</v>
      </c>
    </row>
    <row r="1236" spans="1:12" s="171" customFormat="1" ht="15" hidden="1">
      <c r="A1236" s="406" t="s">
        <v>380</v>
      </c>
      <c r="B1236" s="436" t="s">
        <v>368</v>
      </c>
      <c r="C1236" s="427"/>
      <c r="D1236" s="403"/>
      <c r="E1236" s="305" t="s">
        <v>34</v>
      </c>
      <c r="F1236" s="160">
        <f>SUM(F1237:F1238)</f>
        <v>13949997.76</v>
      </c>
      <c r="G1236" s="473" t="s">
        <v>642</v>
      </c>
      <c r="H1236" s="323"/>
      <c r="I1236" s="71">
        <f>SUM(I1237:I1238)</f>
        <v>0</v>
      </c>
      <c r="J1236" s="432">
        <f>I1236/F1236*100</f>
        <v>0</v>
      </c>
      <c r="K1236" s="333">
        <f>SUM(K1237:K1238)</f>
        <v>0</v>
      </c>
      <c r="L1236" s="69">
        <f t="shared" si="10"/>
        <v>13949997.76</v>
      </c>
    </row>
    <row r="1237" spans="1:12" s="171" customFormat="1" ht="23.25" customHeight="1" hidden="1">
      <c r="A1237" s="407"/>
      <c r="B1237" s="437"/>
      <c r="C1237" s="428"/>
      <c r="D1237" s="404"/>
      <c r="E1237" s="305" t="s">
        <v>75</v>
      </c>
      <c r="F1237" s="246">
        <v>12554997.98</v>
      </c>
      <c r="G1237" s="474"/>
      <c r="H1237" s="323"/>
      <c r="I1237" s="323"/>
      <c r="J1237" s="433"/>
      <c r="K1237" s="323"/>
      <c r="L1237" s="68">
        <f t="shared" si="10"/>
        <v>12554997.98</v>
      </c>
    </row>
    <row r="1238" spans="1:12" s="171" customFormat="1" ht="18" customHeight="1" hidden="1">
      <c r="A1238" s="408"/>
      <c r="B1238" s="438"/>
      <c r="C1238" s="429"/>
      <c r="D1238" s="405"/>
      <c r="E1238" s="305" t="s">
        <v>18</v>
      </c>
      <c r="F1238" s="161">
        <v>1394999.7799999993</v>
      </c>
      <c r="G1238" s="475"/>
      <c r="H1238" s="323"/>
      <c r="I1238" s="323"/>
      <c r="J1238" s="434"/>
      <c r="K1238" s="323"/>
      <c r="L1238" s="68">
        <f t="shared" si="10"/>
        <v>1394999.7799999993</v>
      </c>
    </row>
    <row r="1239" spans="1:12" s="171" customFormat="1" ht="15" hidden="1">
      <c r="A1239" s="406" t="s">
        <v>381</v>
      </c>
      <c r="B1239" s="436" t="s">
        <v>369</v>
      </c>
      <c r="C1239" s="427"/>
      <c r="D1239" s="403"/>
      <c r="E1239" s="305" t="s">
        <v>34</v>
      </c>
      <c r="F1239" s="160">
        <f>SUM(F1240:F1241)</f>
        <v>56999555.44</v>
      </c>
      <c r="G1239" s="473" t="s">
        <v>642</v>
      </c>
      <c r="H1239" s="323"/>
      <c r="I1239" s="71">
        <f>SUM(I1240:I1241)</f>
        <v>0</v>
      </c>
      <c r="J1239" s="432">
        <f>I1239/F1239*100</f>
        <v>0</v>
      </c>
      <c r="K1239" s="333">
        <f>SUM(K1240:K1241)</f>
        <v>0</v>
      </c>
      <c r="L1239" s="69">
        <f t="shared" si="10"/>
        <v>56999555.44</v>
      </c>
    </row>
    <row r="1240" spans="1:12" s="171" customFormat="1" ht="23.25" customHeight="1" hidden="1">
      <c r="A1240" s="407"/>
      <c r="B1240" s="437"/>
      <c r="C1240" s="428"/>
      <c r="D1240" s="404"/>
      <c r="E1240" s="305" t="s">
        <v>75</v>
      </c>
      <c r="F1240" s="246">
        <v>51299585.33</v>
      </c>
      <c r="G1240" s="474"/>
      <c r="H1240" s="323"/>
      <c r="I1240" s="323"/>
      <c r="J1240" s="433"/>
      <c r="K1240" s="323"/>
      <c r="L1240" s="68">
        <f t="shared" si="10"/>
        <v>51299585.33</v>
      </c>
    </row>
    <row r="1241" spans="1:12" s="171" customFormat="1" ht="18" customHeight="1" hidden="1">
      <c r="A1241" s="408"/>
      <c r="B1241" s="438"/>
      <c r="C1241" s="429"/>
      <c r="D1241" s="405"/>
      <c r="E1241" s="305" t="s">
        <v>18</v>
      </c>
      <c r="F1241" s="161">
        <v>5699970.109999999</v>
      </c>
      <c r="G1241" s="475"/>
      <c r="H1241" s="323"/>
      <c r="I1241" s="323"/>
      <c r="J1241" s="434"/>
      <c r="K1241" s="323"/>
      <c r="L1241" s="68">
        <f t="shared" si="10"/>
        <v>5699970.109999999</v>
      </c>
    </row>
    <row r="1242" spans="1:12" s="171" customFormat="1" ht="25.5" customHeight="1" hidden="1">
      <c r="A1242" s="185" t="s">
        <v>382</v>
      </c>
      <c r="B1242" s="312" t="s">
        <v>86</v>
      </c>
      <c r="C1242" s="315"/>
      <c r="D1242" s="318"/>
      <c r="E1242" s="305" t="s">
        <v>75</v>
      </c>
      <c r="F1242" s="161">
        <f>750000000-F1161-F1164-F1167-F1171-F1174-F1177-F1180-F1183-F1186-F1189-F1192-F1195-F1198</f>
        <v>44128539.25000012</v>
      </c>
      <c r="G1242" s="248"/>
      <c r="H1242" s="323"/>
      <c r="I1242" s="72"/>
      <c r="J1242" s="309"/>
      <c r="K1242" s="323"/>
      <c r="L1242" s="68"/>
    </row>
    <row r="1243" spans="1:12" s="171" customFormat="1" ht="15" customHeight="1" hidden="1">
      <c r="A1243" s="448" t="s">
        <v>121</v>
      </c>
      <c r="B1243" s="373" t="s">
        <v>124</v>
      </c>
      <c r="C1243" s="409"/>
      <c r="D1243" s="410"/>
      <c r="E1243" s="81" t="s">
        <v>34</v>
      </c>
      <c r="F1243" s="160">
        <f>SUM(F1244:F1245)</f>
        <v>52492873.75</v>
      </c>
      <c r="G1243" s="374" t="s">
        <v>136</v>
      </c>
      <c r="H1243" s="384"/>
      <c r="I1243" s="71">
        <f>SUM(I1244:I1245)</f>
        <v>0</v>
      </c>
      <c r="J1243" s="502">
        <f>100*(I1243/F1243)</f>
        <v>0</v>
      </c>
      <c r="K1243" s="71">
        <f>SUM(K1244:K1245)</f>
        <v>0</v>
      </c>
      <c r="L1243" s="190" t="e">
        <f>SUM(L1244:L1245)</f>
        <v>#REF!</v>
      </c>
    </row>
    <row r="1244" spans="1:12" s="171" customFormat="1" ht="15" customHeight="1" hidden="1">
      <c r="A1244" s="441"/>
      <c r="B1244" s="374"/>
      <c r="C1244" s="409"/>
      <c r="D1244" s="410"/>
      <c r="E1244" s="81" t="s">
        <v>75</v>
      </c>
      <c r="F1244" s="160">
        <f>F1247+F1250+F1253+F1256+F1259+F1262+F1265+F1267</f>
        <v>50000000</v>
      </c>
      <c r="G1244" s="374"/>
      <c r="H1244" s="384"/>
      <c r="I1244" s="71">
        <f>I1247+I1250+I1253+I1256+I1259+I1262+I1265+I1267</f>
        <v>0</v>
      </c>
      <c r="J1244" s="503"/>
      <c r="K1244" s="71">
        <f>K1247+K1250+K1253+K1256+K1259+K1262+K1265+K1267</f>
        <v>0</v>
      </c>
      <c r="L1244" s="190" t="e">
        <f>L1247+L1250+L1253+L1256+L1259+L1262+L1265+#REF!+#REF!+#REF!+#REF!+#REF!+#REF!</f>
        <v>#REF!</v>
      </c>
    </row>
    <row r="1245" spans="1:12" s="171" customFormat="1" ht="15" customHeight="1" hidden="1">
      <c r="A1245" s="441"/>
      <c r="B1245" s="374"/>
      <c r="C1245" s="409"/>
      <c r="D1245" s="410"/>
      <c r="E1245" s="81" t="s">
        <v>18</v>
      </c>
      <c r="F1245" s="160">
        <f>F1248+F1251+F1254+F1257+F1260+F1263+F1266</f>
        <v>2492873.75</v>
      </c>
      <c r="G1245" s="374"/>
      <c r="H1245" s="384"/>
      <c r="I1245" s="71">
        <f>I1248+I1251+I1254+I1257+I1260+I1263+I1266</f>
        <v>0</v>
      </c>
      <c r="J1245" s="504"/>
      <c r="K1245" s="71">
        <f>K1248+K1251+K1254+K1257+K1260+K1263+K1266</f>
        <v>0</v>
      </c>
      <c r="L1245" s="190" t="e">
        <f>L1248+L1251+L1254+L1257+L1260+L1263+L1266+#REF!+#REF!+#REF!+#REF!+#REF!+#REF!</f>
        <v>#REF!</v>
      </c>
    </row>
    <row r="1246" spans="1:12" s="171" customFormat="1" ht="15" customHeight="1" hidden="1">
      <c r="A1246" s="435" t="s">
        <v>122</v>
      </c>
      <c r="B1246" s="442" t="s">
        <v>388</v>
      </c>
      <c r="C1246" s="409"/>
      <c r="D1246" s="410"/>
      <c r="E1246" s="81" t="s">
        <v>34</v>
      </c>
      <c r="F1246" s="160">
        <f>SUM(F1247:F1248)</f>
        <v>1585423.2</v>
      </c>
      <c r="G1246" s="584"/>
      <c r="H1246" s="384"/>
      <c r="I1246" s="71">
        <f>SUM(I1247:I1248)</f>
        <v>0</v>
      </c>
      <c r="J1246" s="502">
        <f>100*(I1246/F1246)</f>
        <v>0</v>
      </c>
      <c r="K1246" s="333">
        <f>SUM(K1247:K1248)</f>
        <v>0</v>
      </c>
      <c r="L1246" s="68">
        <f aca="true" t="shared" si="11" ref="L1246:L1268">F1246-K1246</f>
        <v>1585423.2</v>
      </c>
    </row>
    <row r="1247" spans="1:12" s="171" customFormat="1" ht="15" customHeight="1" hidden="1">
      <c r="A1247" s="435"/>
      <c r="B1247" s="443"/>
      <c r="C1247" s="409"/>
      <c r="D1247" s="410"/>
      <c r="E1247" s="305" t="s">
        <v>75</v>
      </c>
      <c r="F1247" s="246">
        <v>1500000</v>
      </c>
      <c r="G1247" s="584"/>
      <c r="H1247" s="384"/>
      <c r="I1247" s="249"/>
      <c r="J1247" s="503"/>
      <c r="K1247" s="323"/>
      <c r="L1247" s="68">
        <f t="shared" si="11"/>
        <v>1500000</v>
      </c>
    </row>
    <row r="1248" spans="1:12" s="171" customFormat="1" ht="15" customHeight="1" hidden="1">
      <c r="A1248" s="435"/>
      <c r="B1248" s="444"/>
      <c r="C1248" s="409"/>
      <c r="D1248" s="410"/>
      <c r="E1248" s="305" t="s">
        <v>18</v>
      </c>
      <c r="F1248" s="161">
        <v>85423.19999999995</v>
      </c>
      <c r="G1248" s="584"/>
      <c r="H1248" s="384"/>
      <c r="I1248" s="72"/>
      <c r="J1248" s="504"/>
      <c r="K1248" s="323"/>
      <c r="L1248" s="68">
        <f t="shared" si="11"/>
        <v>85423.19999999995</v>
      </c>
    </row>
    <row r="1249" spans="1:12" s="171" customFormat="1" ht="15" customHeight="1" hidden="1">
      <c r="A1249" s="435" t="s">
        <v>123</v>
      </c>
      <c r="B1249" s="436" t="s">
        <v>389</v>
      </c>
      <c r="C1249" s="409"/>
      <c r="D1249" s="410"/>
      <c r="E1249" s="81" t="s">
        <v>34</v>
      </c>
      <c r="F1249" s="160">
        <f>SUM(F1250:F1251)</f>
        <v>474317.52</v>
      </c>
      <c r="G1249" s="473"/>
      <c r="H1249" s="384"/>
      <c r="I1249" s="71">
        <f>SUM(I1250:I1251)</f>
        <v>0</v>
      </c>
      <c r="J1249" s="502">
        <f>100*(I1249/F1249)</f>
        <v>0</v>
      </c>
      <c r="K1249" s="333">
        <f>SUM(K1250:K1251)</f>
        <v>0</v>
      </c>
      <c r="L1249" s="68">
        <f t="shared" si="11"/>
        <v>474317.52</v>
      </c>
    </row>
    <row r="1250" spans="1:12" s="171" customFormat="1" ht="15" customHeight="1" hidden="1">
      <c r="A1250" s="435"/>
      <c r="B1250" s="437"/>
      <c r="C1250" s="409"/>
      <c r="D1250" s="410"/>
      <c r="E1250" s="305" t="s">
        <v>75</v>
      </c>
      <c r="F1250" s="250">
        <v>450000</v>
      </c>
      <c r="G1250" s="474"/>
      <c r="H1250" s="384"/>
      <c r="I1250" s="251"/>
      <c r="J1250" s="503"/>
      <c r="K1250" s="323"/>
      <c r="L1250" s="68">
        <f t="shared" si="11"/>
        <v>450000</v>
      </c>
    </row>
    <row r="1251" spans="1:12" s="171" customFormat="1" ht="15" customHeight="1" hidden="1">
      <c r="A1251" s="435"/>
      <c r="B1251" s="438"/>
      <c r="C1251" s="409"/>
      <c r="D1251" s="410"/>
      <c r="E1251" s="305" t="s">
        <v>18</v>
      </c>
      <c r="F1251" s="161">
        <v>24317.52000000002</v>
      </c>
      <c r="G1251" s="475"/>
      <c r="H1251" s="384"/>
      <c r="I1251" s="72"/>
      <c r="J1251" s="504"/>
      <c r="K1251" s="323"/>
      <c r="L1251" s="68">
        <f t="shared" si="11"/>
        <v>24317.52000000002</v>
      </c>
    </row>
    <row r="1252" spans="1:12" s="171" customFormat="1" ht="15" customHeight="1" hidden="1">
      <c r="A1252" s="391" t="s">
        <v>128</v>
      </c>
      <c r="B1252" s="436" t="s">
        <v>390</v>
      </c>
      <c r="C1252" s="409"/>
      <c r="D1252" s="410"/>
      <c r="E1252" s="81" t="s">
        <v>34</v>
      </c>
      <c r="F1252" s="160">
        <f>SUM(F1253:F1254)</f>
        <v>3027529.54</v>
      </c>
      <c r="G1252" s="473"/>
      <c r="H1252" s="384"/>
      <c r="I1252" s="71">
        <f>SUM(I1253:I1254)</f>
        <v>0</v>
      </c>
      <c r="J1252" s="502">
        <f>100*(I1252/F1252)</f>
        <v>0</v>
      </c>
      <c r="K1252" s="333">
        <f>SUM(K1253:K1254)</f>
        <v>0</v>
      </c>
      <c r="L1252" s="69">
        <f t="shared" si="11"/>
        <v>3027529.54</v>
      </c>
    </row>
    <row r="1253" spans="1:12" s="171" customFormat="1" ht="15" customHeight="1" hidden="1">
      <c r="A1253" s="435"/>
      <c r="B1253" s="437"/>
      <c r="C1253" s="409"/>
      <c r="D1253" s="410"/>
      <c r="E1253" s="305" t="s">
        <v>75</v>
      </c>
      <c r="F1253" s="250">
        <v>2876153.06</v>
      </c>
      <c r="G1253" s="474"/>
      <c r="H1253" s="384"/>
      <c r="I1253" s="251"/>
      <c r="J1253" s="503"/>
      <c r="K1253" s="323"/>
      <c r="L1253" s="68">
        <f t="shared" si="11"/>
        <v>2876153.06</v>
      </c>
    </row>
    <row r="1254" spans="1:12" s="171" customFormat="1" ht="15" customHeight="1" hidden="1">
      <c r="A1254" s="435"/>
      <c r="B1254" s="438"/>
      <c r="C1254" s="409"/>
      <c r="D1254" s="410"/>
      <c r="E1254" s="305" t="s">
        <v>18</v>
      </c>
      <c r="F1254" s="161">
        <v>151376.47999999998</v>
      </c>
      <c r="G1254" s="475"/>
      <c r="H1254" s="384"/>
      <c r="I1254" s="72"/>
      <c r="J1254" s="504"/>
      <c r="K1254" s="323"/>
      <c r="L1254" s="68">
        <f t="shared" si="11"/>
        <v>151376.47999999998</v>
      </c>
    </row>
    <row r="1255" spans="1:12" s="171" customFormat="1" ht="15" customHeight="1" hidden="1">
      <c r="A1255" s="391" t="s">
        <v>146</v>
      </c>
      <c r="B1255" s="436" t="s">
        <v>391</v>
      </c>
      <c r="C1255" s="409"/>
      <c r="D1255" s="410"/>
      <c r="E1255" s="81" t="s">
        <v>34</v>
      </c>
      <c r="F1255" s="160">
        <f>SUM(F1256:F1257)</f>
        <v>499967.18</v>
      </c>
      <c r="G1255" s="473"/>
      <c r="H1255" s="384"/>
      <c r="I1255" s="71">
        <f>SUM(I1256:I1257)</f>
        <v>0</v>
      </c>
      <c r="J1255" s="502">
        <f>100*(I1255/F1255)</f>
        <v>0</v>
      </c>
      <c r="K1255" s="333">
        <f>SUM(K1256:K1257)</f>
        <v>0</v>
      </c>
      <c r="L1255" s="69">
        <f t="shared" si="11"/>
        <v>499967.18</v>
      </c>
    </row>
    <row r="1256" spans="1:12" s="171" customFormat="1" ht="15" customHeight="1" hidden="1">
      <c r="A1256" s="435"/>
      <c r="B1256" s="437"/>
      <c r="C1256" s="409"/>
      <c r="D1256" s="410"/>
      <c r="E1256" s="305" t="s">
        <v>75</v>
      </c>
      <c r="F1256" s="250">
        <v>474968</v>
      </c>
      <c r="G1256" s="474"/>
      <c r="H1256" s="384"/>
      <c r="I1256" s="251"/>
      <c r="J1256" s="503"/>
      <c r="K1256" s="323"/>
      <c r="L1256" s="68">
        <f t="shared" si="11"/>
        <v>474968</v>
      </c>
    </row>
    <row r="1257" spans="1:12" s="171" customFormat="1" ht="15" customHeight="1" hidden="1">
      <c r="A1257" s="435"/>
      <c r="B1257" s="438"/>
      <c r="C1257" s="409"/>
      <c r="D1257" s="410"/>
      <c r="E1257" s="305" t="s">
        <v>18</v>
      </c>
      <c r="F1257" s="161">
        <v>24999.179999999993</v>
      </c>
      <c r="G1257" s="475"/>
      <c r="H1257" s="384"/>
      <c r="I1257" s="72"/>
      <c r="J1257" s="504"/>
      <c r="K1257" s="323"/>
      <c r="L1257" s="68">
        <f t="shared" si="11"/>
        <v>24999.179999999993</v>
      </c>
    </row>
    <row r="1258" spans="1:12" s="171" customFormat="1" ht="15" customHeight="1" hidden="1">
      <c r="A1258" s="391" t="s">
        <v>147</v>
      </c>
      <c r="B1258" s="436" t="s">
        <v>392</v>
      </c>
      <c r="C1258" s="409"/>
      <c r="D1258" s="410"/>
      <c r="E1258" s="81" t="s">
        <v>34</v>
      </c>
      <c r="F1258" s="160">
        <f>SUM(F1259:F1260)</f>
        <v>42127435</v>
      </c>
      <c r="G1258" s="473"/>
      <c r="H1258" s="384"/>
      <c r="I1258" s="71">
        <f>SUM(I1259:I1260)</f>
        <v>0</v>
      </c>
      <c r="J1258" s="502">
        <f>100*(I1258/F1258)</f>
        <v>0</v>
      </c>
      <c r="K1258" s="333">
        <f>SUM(K1259:K1260)</f>
        <v>0</v>
      </c>
      <c r="L1258" s="68">
        <f t="shared" si="11"/>
        <v>42127435</v>
      </c>
    </row>
    <row r="1259" spans="1:12" s="171" customFormat="1" ht="15" customHeight="1" hidden="1">
      <c r="A1259" s="435"/>
      <c r="B1259" s="437"/>
      <c r="C1259" s="409"/>
      <c r="D1259" s="410"/>
      <c r="E1259" s="305" t="s">
        <v>75</v>
      </c>
      <c r="F1259" s="250">
        <v>40000000</v>
      </c>
      <c r="G1259" s="474"/>
      <c r="H1259" s="384"/>
      <c r="I1259" s="251"/>
      <c r="J1259" s="503"/>
      <c r="K1259" s="323"/>
      <c r="L1259" s="68">
        <f t="shared" si="11"/>
        <v>40000000</v>
      </c>
    </row>
    <row r="1260" spans="1:12" s="171" customFormat="1" ht="15" customHeight="1" hidden="1">
      <c r="A1260" s="435"/>
      <c r="B1260" s="438"/>
      <c r="C1260" s="409"/>
      <c r="D1260" s="410"/>
      <c r="E1260" s="305" t="s">
        <v>18</v>
      </c>
      <c r="F1260" s="161">
        <v>2127435</v>
      </c>
      <c r="G1260" s="475"/>
      <c r="H1260" s="384"/>
      <c r="I1260" s="72"/>
      <c r="J1260" s="504"/>
      <c r="K1260" s="323"/>
      <c r="L1260" s="68">
        <f t="shared" si="11"/>
        <v>2127435</v>
      </c>
    </row>
    <row r="1261" spans="1:12" s="171" customFormat="1" ht="15" customHeight="1" hidden="1">
      <c r="A1261" s="391" t="s">
        <v>148</v>
      </c>
      <c r="B1261" s="436" t="s">
        <v>393</v>
      </c>
      <c r="C1261" s="409"/>
      <c r="D1261" s="305"/>
      <c r="E1261" s="81" t="s">
        <v>34</v>
      </c>
      <c r="F1261" s="160">
        <f>SUM(F1262:F1263)</f>
        <v>533595.21</v>
      </c>
      <c r="G1261" s="473"/>
      <c r="H1261" s="384"/>
      <c r="I1261" s="71">
        <f>SUM(I1262:I1263)</f>
        <v>0</v>
      </c>
      <c r="J1261" s="502">
        <f>100*(I1261/F1261)</f>
        <v>0</v>
      </c>
      <c r="K1261" s="323">
        <f>SUM(K1262:K1263)</f>
        <v>0</v>
      </c>
      <c r="L1261" s="68">
        <f t="shared" si="11"/>
        <v>533595.21</v>
      </c>
    </row>
    <row r="1262" spans="1:12" s="171" customFormat="1" ht="15" customHeight="1" hidden="1">
      <c r="A1262" s="435"/>
      <c r="B1262" s="437"/>
      <c r="C1262" s="409"/>
      <c r="D1262" s="305"/>
      <c r="E1262" s="305" t="s">
        <v>75</v>
      </c>
      <c r="F1262" s="250">
        <v>506915.44</v>
      </c>
      <c r="G1262" s="474"/>
      <c r="H1262" s="384"/>
      <c r="I1262" s="251"/>
      <c r="J1262" s="503"/>
      <c r="K1262" s="323"/>
      <c r="L1262" s="68">
        <f t="shared" si="11"/>
        <v>506915.44</v>
      </c>
    </row>
    <row r="1263" spans="1:12" s="171" customFormat="1" ht="15" customHeight="1" hidden="1">
      <c r="A1263" s="435"/>
      <c r="B1263" s="438"/>
      <c r="C1263" s="409"/>
      <c r="D1263" s="305"/>
      <c r="E1263" s="305" t="s">
        <v>18</v>
      </c>
      <c r="F1263" s="161">
        <v>26679.76999999996</v>
      </c>
      <c r="G1263" s="475"/>
      <c r="H1263" s="384"/>
      <c r="I1263" s="72"/>
      <c r="J1263" s="504"/>
      <c r="K1263" s="323"/>
      <c r="L1263" s="68">
        <f t="shared" si="11"/>
        <v>26679.76999999996</v>
      </c>
    </row>
    <row r="1264" spans="1:12" s="171" customFormat="1" ht="15" customHeight="1" hidden="1">
      <c r="A1264" s="391" t="s">
        <v>149</v>
      </c>
      <c r="B1264" s="436" t="s">
        <v>394</v>
      </c>
      <c r="C1264" s="409"/>
      <c r="D1264" s="410"/>
      <c r="E1264" s="81" t="s">
        <v>34</v>
      </c>
      <c r="F1264" s="160">
        <f>SUM(F1265:F1266)</f>
        <v>1052642.6</v>
      </c>
      <c r="G1264" s="473"/>
      <c r="H1264" s="384"/>
      <c r="I1264" s="71">
        <f>SUM(I1265:I1266)</f>
        <v>0</v>
      </c>
      <c r="J1264" s="502">
        <f>100*(I1264/F1264)</f>
        <v>0</v>
      </c>
      <c r="K1264" s="333">
        <f>SUM(K1265:K1266)</f>
        <v>0</v>
      </c>
      <c r="L1264" s="68">
        <f t="shared" si="11"/>
        <v>1052642.6</v>
      </c>
    </row>
    <row r="1265" spans="1:12" s="171" customFormat="1" ht="15" customHeight="1" hidden="1">
      <c r="A1265" s="435"/>
      <c r="B1265" s="437"/>
      <c r="C1265" s="409"/>
      <c r="D1265" s="410"/>
      <c r="E1265" s="305" t="s">
        <v>75</v>
      </c>
      <c r="F1265" s="250">
        <v>1000000</v>
      </c>
      <c r="G1265" s="474"/>
      <c r="H1265" s="384"/>
      <c r="I1265" s="75"/>
      <c r="J1265" s="503"/>
      <c r="K1265" s="323"/>
      <c r="L1265" s="68">
        <f t="shared" si="11"/>
        <v>1000000</v>
      </c>
    </row>
    <row r="1266" spans="1:12" s="171" customFormat="1" ht="22.5" customHeight="1" hidden="1">
      <c r="A1266" s="435"/>
      <c r="B1266" s="438"/>
      <c r="C1266" s="409"/>
      <c r="D1266" s="410"/>
      <c r="E1266" s="305" t="s">
        <v>18</v>
      </c>
      <c r="F1266" s="161">
        <v>52642.60000000009</v>
      </c>
      <c r="G1266" s="475"/>
      <c r="H1266" s="384"/>
      <c r="I1266" s="72"/>
      <c r="J1266" s="504"/>
      <c r="K1266" s="323"/>
      <c r="L1266" s="68">
        <f t="shared" si="11"/>
        <v>52642.60000000009</v>
      </c>
    </row>
    <row r="1267" spans="1:12" s="171" customFormat="1" ht="27" customHeight="1" hidden="1">
      <c r="A1267" s="192" t="s">
        <v>128</v>
      </c>
      <c r="B1267" s="311" t="s">
        <v>86</v>
      </c>
      <c r="C1267" s="313"/>
      <c r="D1267" s="316"/>
      <c r="E1267" s="305" t="s">
        <v>75</v>
      </c>
      <c r="F1267" s="161">
        <f>50000000-F1247-F1250-F1253-F1256-F1259-F1262-F1265</f>
        <v>3191963.4999999977</v>
      </c>
      <c r="G1267" s="286"/>
      <c r="H1267" s="323"/>
      <c r="I1267" s="72"/>
      <c r="J1267" s="310"/>
      <c r="K1267" s="323"/>
      <c r="L1267" s="68">
        <f t="shared" si="11"/>
        <v>3191963.4999999977</v>
      </c>
    </row>
    <row r="1268" spans="1:12" s="171" customFormat="1" ht="27" customHeight="1" hidden="1">
      <c r="A1268" s="191"/>
      <c r="B1268" s="252" t="s">
        <v>129</v>
      </c>
      <c r="C1268" s="332"/>
      <c r="D1268" s="305"/>
      <c r="E1268" s="81" t="s">
        <v>75</v>
      </c>
      <c r="F1268" s="196">
        <f>437281405.7-1246842.77</f>
        <v>436034562.93</v>
      </c>
      <c r="G1268" s="253"/>
      <c r="H1268" s="326"/>
      <c r="I1268" s="333">
        <v>171172962.87</v>
      </c>
      <c r="J1268" s="333">
        <f>I1268/F1268*100</f>
        <v>39.25674187839089</v>
      </c>
      <c r="K1268" s="333">
        <v>171172962.87</v>
      </c>
      <c r="L1268" s="69">
        <f t="shared" si="11"/>
        <v>264861600.06</v>
      </c>
    </row>
    <row r="1269" spans="1:12" s="171" customFormat="1" ht="27" customHeight="1" hidden="1">
      <c r="A1269" s="506"/>
      <c r="B1269" s="578" t="s">
        <v>125</v>
      </c>
      <c r="C1269" s="415"/>
      <c r="D1269" s="403"/>
      <c r="E1269" s="81" t="s">
        <v>34</v>
      </c>
      <c r="F1269" s="196">
        <f>SUM(F1270:F1272)</f>
        <v>5942411990.91</v>
      </c>
      <c r="G1269" s="288"/>
      <c r="H1269" s="82"/>
      <c r="I1269" s="197">
        <f>SUM(I1270:I1272)</f>
        <v>1007976484.18</v>
      </c>
      <c r="J1269" s="581">
        <f>I1269/F1269*100</f>
        <v>16.962413338588494</v>
      </c>
      <c r="K1269" s="197">
        <f>SUM(K1270:K1272)</f>
        <v>1146086349</v>
      </c>
      <c r="L1269" s="194" t="e">
        <f>SUM(L1270:L1272)</f>
        <v>#REF!</v>
      </c>
    </row>
    <row r="1270" spans="1:12" s="171" customFormat="1" ht="27" customHeight="1" hidden="1">
      <c r="A1270" s="507"/>
      <c r="B1270" s="579"/>
      <c r="C1270" s="416"/>
      <c r="D1270" s="404"/>
      <c r="E1270" s="81" t="s">
        <v>74</v>
      </c>
      <c r="F1270" s="196">
        <f>F984+F1138</f>
        <v>1000000000</v>
      </c>
      <c r="G1270" s="294"/>
      <c r="H1270" s="82"/>
      <c r="I1270" s="197">
        <f>I984+I1138</f>
        <v>0</v>
      </c>
      <c r="J1270" s="582"/>
      <c r="K1270" s="197">
        <f>K984+K1138</f>
        <v>0</v>
      </c>
      <c r="L1270" s="194" t="e">
        <f>SUM(#REF!,L1094,#REF!,#REF!,#REF!)+L983</f>
        <v>#REF!</v>
      </c>
    </row>
    <row r="1271" spans="1:12" s="171" customFormat="1" ht="27" customHeight="1" hidden="1">
      <c r="A1271" s="507"/>
      <c r="B1271" s="579"/>
      <c r="C1271" s="416"/>
      <c r="D1271" s="404"/>
      <c r="E1271" s="81" t="s">
        <v>75</v>
      </c>
      <c r="F1271" s="196">
        <f>F985+F1033+F1036+F1099+F1110+F1158+F1244+F1268</f>
        <v>4900785887.41</v>
      </c>
      <c r="G1271" s="290"/>
      <c r="H1271" s="82"/>
      <c r="I1271" s="197">
        <f>I985+I1033+I1036+I1099+I1110+I1158+I1244+I1268</f>
        <v>1007976484.18</v>
      </c>
      <c r="J1271" s="582"/>
      <c r="K1271" s="197">
        <f>K985+K1033+K1036+K1099+K1110+K1158+K1244+K1268</f>
        <v>1146086349</v>
      </c>
      <c r="L1271" s="194" t="e">
        <f>SUM(L985,L1033,L1036,L1095,#REF!,L1110,L1138,L1158,L1244,L1268)</f>
        <v>#REF!</v>
      </c>
    </row>
    <row r="1272" spans="1:12" s="171" customFormat="1" ht="27" customHeight="1" hidden="1">
      <c r="A1272" s="508"/>
      <c r="B1272" s="580"/>
      <c r="C1272" s="417"/>
      <c r="D1272" s="405"/>
      <c r="E1272" s="81" t="s">
        <v>18</v>
      </c>
      <c r="F1272" s="196">
        <f>F1096+F1111+F1159+F1245</f>
        <v>41626103.5</v>
      </c>
      <c r="G1272" s="289"/>
      <c r="H1272" s="82"/>
      <c r="I1272" s="197">
        <f>I1096+I1111+I1159+I1245</f>
        <v>0</v>
      </c>
      <c r="J1272" s="583"/>
      <c r="K1272" s="197">
        <f>K1096+K1111+K1159+K1245</f>
        <v>0</v>
      </c>
      <c r="L1272" s="194" t="e">
        <f>SUM(#REF!,L1096,#REF!,L1111,#REF!,L1159,L1245)</f>
        <v>#REF!</v>
      </c>
    </row>
    <row r="1273" spans="1:12" s="198" customFormat="1" ht="27" customHeight="1" hidden="1">
      <c r="A1273" s="195"/>
      <c r="B1273" s="337" t="s">
        <v>130</v>
      </c>
      <c r="C1273" s="328">
        <f>C983+C1036+C1097</f>
        <v>142.13400000000001</v>
      </c>
      <c r="D1273" s="318"/>
      <c r="E1273" s="81"/>
      <c r="F1273" s="196">
        <f>F983-F1032+F1033+F1036+F1097+F1268</f>
        <v>4310304931.9</v>
      </c>
      <c r="G1273" s="318"/>
      <c r="H1273" s="110"/>
      <c r="I1273" s="197">
        <f>I983-I1032+I1033+I1036+I1097+I1268</f>
        <v>1007976484.18</v>
      </c>
      <c r="J1273" s="74"/>
      <c r="K1273" s="197">
        <f>K983-K1032+K1033+K1036+K1097+K1268</f>
        <v>1146086349</v>
      </c>
      <c r="L1273" s="75">
        <f>F1273-K1273</f>
        <v>3164218582.8999996</v>
      </c>
    </row>
    <row r="1274" spans="1:12" s="129" customFormat="1" ht="27" customHeight="1" hidden="1">
      <c r="A1274" s="88"/>
      <c r="B1274" s="130"/>
      <c r="C1274" s="131"/>
      <c r="D1274" s="132"/>
      <c r="E1274" s="133"/>
      <c r="F1274" s="167"/>
      <c r="G1274" s="132"/>
      <c r="H1274" s="134"/>
      <c r="I1274" s="135"/>
      <c r="J1274" s="136"/>
      <c r="K1274" s="77"/>
      <c r="L1274" s="128"/>
    </row>
    <row r="1275" spans="1:12" s="326" customFormat="1" ht="27" customHeight="1" hidden="1">
      <c r="A1275" s="574" t="s">
        <v>102</v>
      </c>
      <c r="B1275" s="575"/>
      <c r="C1275" s="575"/>
      <c r="D1275" s="575"/>
      <c r="E1275" s="575"/>
      <c r="F1275" s="575"/>
      <c r="G1275" s="575"/>
      <c r="H1275" s="575"/>
      <c r="I1275" s="575"/>
      <c r="J1275" s="575"/>
      <c r="K1275" s="576"/>
      <c r="L1275" s="323"/>
    </row>
    <row r="1276" spans="1:12" s="326" customFormat="1" ht="27" customHeight="1" hidden="1">
      <c r="A1276" s="532">
        <v>1</v>
      </c>
      <c r="B1276" s="566" t="s">
        <v>245</v>
      </c>
      <c r="C1276" s="540"/>
      <c r="D1276" s="384"/>
      <c r="E1276" s="333" t="s">
        <v>96</v>
      </c>
      <c r="F1276" s="165">
        <f>SUM(F1277:F1279)</f>
        <v>781967954</v>
      </c>
      <c r="G1276" s="432"/>
      <c r="H1276" s="333">
        <f>SUM(H1277:H1279)</f>
        <v>0</v>
      </c>
      <c r="I1276" s="165">
        <f>SUM(I1277:I1279)</f>
        <v>0</v>
      </c>
      <c r="J1276" s="333">
        <f>100*(I1276/F1276)</f>
        <v>0</v>
      </c>
      <c r="K1276" s="165">
        <f>SUM(K1277:K1279)</f>
        <v>0</v>
      </c>
      <c r="L1276" s="184">
        <f aca="true" t="shared" si="12" ref="L1276:L1339">F1276-K1276</f>
        <v>781967954</v>
      </c>
    </row>
    <row r="1277" spans="1:12" s="326" customFormat="1" ht="27" customHeight="1" hidden="1">
      <c r="A1277" s="532"/>
      <c r="B1277" s="567"/>
      <c r="C1277" s="540"/>
      <c r="D1277" s="384"/>
      <c r="E1277" s="333" t="s">
        <v>74</v>
      </c>
      <c r="F1277" s="165">
        <f>SUM(F1281,F1329)</f>
        <v>464015900</v>
      </c>
      <c r="G1277" s="433"/>
      <c r="H1277" s="333">
        <f>SUM(H1281,H1329)</f>
        <v>0</v>
      </c>
      <c r="I1277" s="165">
        <f>SUM(I1281,I1329)</f>
        <v>0</v>
      </c>
      <c r="J1277" s="333">
        <f>100*(I1277/F1277)</f>
        <v>0</v>
      </c>
      <c r="K1277" s="165">
        <f>SUM(K1281,K1329)</f>
        <v>0</v>
      </c>
      <c r="L1277" s="184">
        <f t="shared" si="12"/>
        <v>464015900</v>
      </c>
    </row>
    <row r="1278" spans="1:12" s="326" customFormat="1" ht="27" customHeight="1" hidden="1">
      <c r="A1278" s="532"/>
      <c r="B1278" s="567"/>
      <c r="C1278" s="540"/>
      <c r="D1278" s="384"/>
      <c r="E1278" s="333" t="s">
        <v>75</v>
      </c>
      <c r="F1278" s="165">
        <f>SUM(F1282,F1330)</f>
        <v>315883395</v>
      </c>
      <c r="G1278" s="433"/>
      <c r="H1278" s="333">
        <f>SUM(H1282,H1330)</f>
        <v>0</v>
      </c>
      <c r="I1278" s="165">
        <f>SUM(I1282,I1330)</f>
        <v>0</v>
      </c>
      <c r="J1278" s="333">
        <f>100*(I1278/F1278)</f>
        <v>0</v>
      </c>
      <c r="K1278" s="165">
        <f>SUM(K1282,K1330)</f>
        <v>0</v>
      </c>
      <c r="L1278" s="184">
        <f t="shared" si="12"/>
        <v>315883395</v>
      </c>
    </row>
    <row r="1279" spans="1:12" s="326" customFormat="1" ht="34.5" customHeight="1" hidden="1">
      <c r="A1279" s="532"/>
      <c r="B1279" s="577"/>
      <c r="C1279" s="540"/>
      <c r="D1279" s="384"/>
      <c r="E1279" s="333" t="s">
        <v>18</v>
      </c>
      <c r="F1279" s="165">
        <f>SUM(F1331)</f>
        <v>2068659</v>
      </c>
      <c r="G1279" s="434"/>
      <c r="H1279" s="333">
        <f>SUM(H1331)</f>
        <v>0</v>
      </c>
      <c r="I1279" s="165">
        <f>SUM(I1331)</f>
        <v>0</v>
      </c>
      <c r="J1279" s="333"/>
      <c r="K1279" s="165">
        <f>SUM(K1331)</f>
        <v>0</v>
      </c>
      <c r="L1279" s="184">
        <f t="shared" si="12"/>
        <v>2068659</v>
      </c>
    </row>
    <row r="1280" spans="1:12" s="326" customFormat="1" ht="15" customHeight="1" hidden="1">
      <c r="A1280" s="540" t="s">
        <v>104</v>
      </c>
      <c r="B1280" s="565" t="s">
        <v>97</v>
      </c>
      <c r="C1280" s="533">
        <f>SUM(C1283:C1327)</f>
        <v>35.3644</v>
      </c>
      <c r="D1280" s="384"/>
      <c r="E1280" s="333" t="s">
        <v>34</v>
      </c>
      <c r="F1280" s="165">
        <f>SUM(F1281:F1282)</f>
        <v>529948851</v>
      </c>
      <c r="G1280" s="432"/>
      <c r="H1280" s="333"/>
      <c r="I1280" s="165">
        <f>SUM(I1281:I1282)</f>
        <v>0</v>
      </c>
      <c r="J1280" s="333">
        <f aca="true" t="shared" si="13" ref="J1280:J1328">100*(I1280/F1280)</f>
        <v>0</v>
      </c>
      <c r="K1280" s="165">
        <f>SUM(K1281:K1282)</f>
        <v>0</v>
      </c>
      <c r="L1280" s="184">
        <f t="shared" si="12"/>
        <v>529948851</v>
      </c>
    </row>
    <row r="1281" spans="1:12" s="326" customFormat="1" ht="15" customHeight="1" hidden="1">
      <c r="A1281" s="540"/>
      <c r="B1281" s="565"/>
      <c r="C1281" s="533"/>
      <c r="D1281" s="384"/>
      <c r="E1281" s="333" t="s">
        <v>74</v>
      </c>
      <c r="F1281" s="165">
        <f>SUM(F1284,F1288,F1292,F1297,F1301,F1305,F1309,F1313,F1317,F1321,F1325)</f>
        <v>339065456</v>
      </c>
      <c r="G1281" s="433"/>
      <c r="H1281" s="333"/>
      <c r="I1281" s="165">
        <f>SUM(I1284,I1288,I1292,I1297,I1301,I1305,I1309,I1313,I1317,I1321,I1325)</f>
        <v>0</v>
      </c>
      <c r="J1281" s="333">
        <f t="shared" si="13"/>
        <v>0</v>
      </c>
      <c r="K1281" s="165">
        <f>SUM(K1284,K1288,K1292,K1297,K1301,K1305,K1309,K1313,K1317,K1321,K1325)</f>
        <v>0</v>
      </c>
      <c r="L1281" s="184">
        <f t="shared" si="12"/>
        <v>339065456</v>
      </c>
    </row>
    <row r="1282" spans="1:12" s="326" customFormat="1" ht="15" customHeight="1" hidden="1">
      <c r="A1282" s="540"/>
      <c r="B1282" s="565"/>
      <c r="C1282" s="533"/>
      <c r="D1282" s="384"/>
      <c r="E1282" s="333" t="s">
        <v>75</v>
      </c>
      <c r="F1282" s="165">
        <f>SUM(F1285,F1286,F1289,F1290,F1293,F1294,F1295,F1298,F1299,F1302,F1303,F1306,F1307,F1310,F1311,F1314,F1315,F1318,F1319,F1322,F1323,F1326,F1327)</f>
        <v>190883395</v>
      </c>
      <c r="G1282" s="434"/>
      <c r="H1282" s="333"/>
      <c r="I1282" s="165">
        <f>SUM(I1285,I1286,I1289,I1290,I1293,I1294,I1295,I1298,I1299,I1302,I1303,I1306,I1307,I1310,I1311,I1314,I1315,I1318,I1319,I1322,I1323,I1326,I1327)</f>
        <v>0</v>
      </c>
      <c r="J1282" s="333">
        <f t="shared" si="13"/>
        <v>0</v>
      </c>
      <c r="K1282" s="165">
        <f>SUM(K1285,K1286,K1289,K1290,K1293,K1294,K1295,K1298,K1299,K1302,K1303,K1306,K1307,K1310,K1311,K1314,K1315,K1318,K1319,K1322,K1323,K1326,K1327)</f>
        <v>0</v>
      </c>
      <c r="L1282" s="184">
        <f t="shared" si="12"/>
        <v>190883395</v>
      </c>
    </row>
    <row r="1283" spans="1:12" s="326" customFormat="1" ht="45" hidden="1">
      <c r="A1283" s="432" t="s">
        <v>105</v>
      </c>
      <c r="B1283" s="116" t="s">
        <v>275</v>
      </c>
      <c r="C1283" s="296">
        <v>5.3575</v>
      </c>
      <c r="D1283" s="309"/>
      <c r="E1283" s="333"/>
      <c r="F1283" s="125">
        <f>F1284+F1286+F1285</f>
        <v>46356075</v>
      </c>
      <c r="G1283" s="562" t="s">
        <v>616</v>
      </c>
      <c r="H1283" s="333"/>
      <c r="I1283" s="125">
        <f>I1284+I1286+I1285</f>
        <v>0</v>
      </c>
      <c r="J1283" s="323">
        <f t="shared" si="13"/>
        <v>0</v>
      </c>
      <c r="K1283" s="125">
        <f>K1284+K1286+K1285</f>
        <v>0</v>
      </c>
      <c r="L1283" s="183">
        <f t="shared" si="12"/>
        <v>46356075</v>
      </c>
    </row>
    <row r="1284" spans="1:12" s="326" customFormat="1" ht="15" customHeight="1" hidden="1">
      <c r="A1284" s="433"/>
      <c r="B1284" s="254" t="s">
        <v>276</v>
      </c>
      <c r="C1284" s="296"/>
      <c r="D1284" s="309"/>
      <c r="E1284" s="323" t="s">
        <v>74</v>
      </c>
      <c r="F1284" s="255">
        <v>32449252</v>
      </c>
      <c r="G1284" s="563"/>
      <c r="H1284" s="333"/>
      <c r="I1284" s="255"/>
      <c r="J1284" s="323">
        <f t="shared" si="13"/>
        <v>0</v>
      </c>
      <c r="K1284" s="255"/>
      <c r="L1284" s="183">
        <f t="shared" si="12"/>
        <v>32449252</v>
      </c>
    </row>
    <row r="1285" spans="1:12" s="326" customFormat="1" ht="15" customHeight="1" hidden="1">
      <c r="A1285" s="433"/>
      <c r="B1285" s="116" t="s">
        <v>277</v>
      </c>
      <c r="C1285" s="296"/>
      <c r="D1285" s="309"/>
      <c r="E1285" s="323" t="s">
        <v>75</v>
      </c>
      <c r="F1285" s="125">
        <v>12285158</v>
      </c>
      <c r="G1285" s="563"/>
      <c r="H1285" s="333"/>
      <c r="I1285" s="125"/>
      <c r="J1285" s="323">
        <f t="shared" si="13"/>
        <v>0</v>
      </c>
      <c r="K1285" s="125"/>
      <c r="L1285" s="183">
        <f t="shared" si="12"/>
        <v>12285158</v>
      </c>
    </row>
    <row r="1286" spans="1:12" s="326" customFormat="1" ht="15" customHeight="1" hidden="1">
      <c r="A1286" s="434"/>
      <c r="B1286" s="116" t="s">
        <v>93</v>
      </c>
      <c r="C1286" s="296"/>
      <c r="D1286" s="309"/>
      <c r="E1286" s="323" t="s">
        <v>75</v>
      </c>
      <c r="F1286" s="125">
        <v>1621665</v>
      </c>
      <c r="G1286" s="564"/>
      <c r="H1286" s="333"/>
      <c r="I1286" s="125"/>
      <c r="J1286" s="323">
        <f t="shared" si="13"/>
        <v>0</v>
      </c>
      <c r="K1286" s="125"/>
      <c r="L1286" s="183">
        <f t="shared" si="12"/>
        <v>1621665</v>
      </c>
    </row>
    <row r="1287" spans="1:12" s="326" customFormat="1" ht="45" hidden="1">
      <c r="A1287" s="432" t="s">
        <v>106</v>
      </c>
      <c r="B1287" s="227" t="s">
        <v>278</v>
      </c>
      <c r="C1287" s="296">
        <v>3.579</v>
      </c>
      <c r="D1287" s="309"/>
      <c r="E1287" s="333"/>
      <c r="F1287" s="125">
        <f>F1288+F1290+F1289</f>
        <v>72731667</v>
      </c>
      <c r="G1287" s="432"/>
      <c r="H1287" s="333"/>
      <c r="I1287" s="125">
        <f>I1288+I1290+I1289</f>
        <v>0</v>
      </c>
      <c r="J1287" s="323">
        <f t="shared" si="13"/>
        <v>0</v>
      </c>
      <c r="K1287" s="125">
        <f>K1288+K1290+K1289</f>
        <v>0</v>
      </c>
      <c r="L1287" s="183">
        <f t="shared" si="12"/>
        <v>72731667</v>
      </c>
    </row>
    <row r="1288" spans="1:12" s="326" customFormat="1" ht="15" customHeight="1" hidden="1">
      <c r="A1288" s="433"/>
      <c r="B1288" s="254" t="s">
        <v>276</v>
      </c>
      <c r="C1288" s="296"/>
      <c r="D1288" s="309"/>
      <c r="E1288" s="323" t="s">
        <v>74</v>
      </c>
      <c r="F1288" s="256">
        <v>42124830</v>
      </c>
      <c r="G1288" s="433"/>
      <c r="H1288" s="333"/>
      <c r="I1288" s="256"/>
      <c r="J1288" s="323">
        <f t="shared" si="13"/>
        <v>0</v>
      </c>
      <c r="K1288" s="256"/>
      <c r="L1288" s="183">
        <f t="shared" si="12"/>
        <v>42124830</v>
      </c>
    </row>
    <row r="1289" spans="1:12" s="326" customFormat="1" ht="15" customHeight="1" hidden="1">
      <c r="A1289" s="433"/>
      <c r="B1289" s="116" t="s">
        <v>277</v>
      </c>
      <c r="C1289" s="296"/>
      <c r="D1289" s="309"/>
      <c r="E1289" s="323" t="s">
        <v>75</v>
      </c>
      <c r="F1289" s="125">
        <v>29656491</v>
      </c>
      <c r="G1289" s="433"/>
      <c r="H1289" s="333"/>
      <c r="I1289" s="125"/>
      <c r="J1289" s="323">
        <f t="shared" si="13"/>
        <v>0</v>
      </c>
      <c r="K1289" s="125"/>
      <c r="L1289" s="183">
        <f t="shared" si="12"/>
        <v>29656491</v>
      </c>
    </row>
    <row r="1290" spans="1:12" s="326" customFormat="1" ht="15" customHeight="1" hidden="1">
      <c r="A1290" s="434"/>
      <c r="B1290" s="116" t="s">
        <v>93</v>
      </c>
      <c r="C1290" s="296"/>
      <c r="D1290" s="309"/>
      <c r="E1290" s="323" t="s">
        <v>75</v>
      </c>
      <c r="F1290" s="125">
        <v>950346</v>
      </c>
      <c r="G1290" s="434"/>
      <c r="H1290" s="333"/>
      <c r="I1290" s="125"/>
      <c r="J1290" s="323">
        <f t="shared" si="13"/>
        <v>0</v>
      </c>
      <c r="K1290" s="125"/>
      <c r="L1290" s="183">
        <f t="shared" si="12"/>
        <v>950346</v>
      </c>
    </row>
    <row r="1291" spans="1:12" s="326" customFormat="1" ht="45" hidden="1">
      <c r="A1291" s="432" t="s">
        <v>107</v>
      </c>
      <c r="B1291" s="117" t="s">
        <v>160</v>
      </c>
      <c r="C1291" s="296">
        <v>3.74</v>
      </c>
      <c r="D1291" s="309"/>
      <c r="E1291" s="333"/>
      <c r="F1291" s="125">
        <f>F1292+F1295+F1294+F1293</f>
        <v>44232398</v>
      </c>
      <c r="G1291" s="562" t="s">
        <v>617</v>
      </c>
      <c r="H1291" s="333"/>
      <c r="I1291" s="125">
        <f>I1292+I1295+I1294+I1293</f>
        <v>0</v>
      </c>
      <c r="J1291" s="323">
        <f t="shared" si="13"/>
        <v>0</v>
      </c>
      <c r="K1291" s="125">
        <f>K1292+K1295+K1294+K1293</f>
        <v>0</v>
      </c>
      <c r="L1291" s="183">
        <f t="shared" si="12"/>
        <v>44232398</v>
      </c>
    </row>
    <row r="1292" spans="1:12" s="326" customFormat="1" ht="15" customHeight="1" hidden="1">
      <c r="A1292" s="433"/>
      <c r="B1292" s="254" t="s">
        <v>276</v>
      </c>
      <c r="C1292" s="296"/>
      <c r="D1292" s="309"/>
      <c r="E1292" s="323" t="s">
        <v>74</v>
      </c>
      <c r="F1292" s="255">
        <v>30787678</v>
      </c>
      <c r="G1292" s="563"/>
      <c r="H1292" s="333"/>
      <c r="I1292" s="255"/>
      <c r="J1292" s="323">
        <f t="shared" si="13"/>
        <v>0</v>
      </c>
      <c r="K1292" s="255"/>
      <c r="L1292" s="183">
        <f t="shared" si="12"/>
        <v>30787678</v>
      </c>
    </row>
    <row r="1293" spans="1:12" s="326" customFormat="1" ht="15" customHeight="1" hidden="1">
      <c r="A1293" s="433"/>
      <c r="B1293" s="116" t="s">
        <v>277</v>
      </c>
      <c r="C1293" s="296"/>
      <c r="D1293" s="309"/>
      <c r="E1293" s="323" t="s">
        <v>75</v>
      </c>
      <c r="F1293" s="125">
        <v>12068667</v>
      </c>
      <c r="G1293" s="563"/>
      <c r="H1293" s="333"/>
      <c r="I1293" s="125"/>
      <c r="J1293" s="323">
        <f t="shared" si="13"/>
        <v>0</v>
      </c>
      <c r="K1293" s="125"/>
      <c r="L1293" s="183">
        <f t="shared" si="12"/>
        <v>12068667</v>
      </c>
    </row>
    <row r="1294" spans="1:12" s="326" customFormat="1" ht="15" customHeight="1" hidden="1">
      <c r="A1294" s="433"/>
      <c r="B1294" s="116" t="s">
        <v>93</v>
      </c>
      <c r="C1294" s="296"/>
      <c r="D1294" s="309"/>
      <c r="E1294" s="323" t="s">
        <v>75</v>
      </c>
      <c r="F1294" s="125">
        <v>1126053</v>
      </c>
      <c r="G1294" s="563"/>
      <c r="H1294" s="333"/>
      <c r="I1294" s="125"/>
      <c r="J1294" s="323">
        <f t="shared" si="13"/>
        <v>0</v>
      </c>
      <c r="K1294" s="125"/>
      <c r="L1294" s="183">
        <f t="shared" si="12"/>
        <v>1126053</v>
      </c>
    </row>
    <row r="1295" spans="1:12" s="326" customFormat="1" ht="15" customHeight="1" hidden="1">
      <c r="A1295" s="434"/>
      <c r="B1295" s="116" t="s">
        <v>94</v>
      </c>
      <c r="C1295" s="296"/>
      <c r="D1295" s="309"/>
      <c r="E1295" s="323" t="s">
        <v>75</v>
      </c>
      <c r="F1295" s="125">
        <v>250000</v>
      </c>
      <c r="G1295" s="564"/>
      <c r="H1295" s="333"/>
      <c r="I1295" s="125"/>
      <c r="J1295" s="323">
        <f t="shared" si="13"/>
        <v>0</v>
      </c>
      <c r="K1295" s="125"/>
      <c r="L1295" s="183">
        <f t="shared" si="12"/>
        <v>250000</v>
      </c>
    </row>
    <row r="1296" spans="1:12" s="326" customFormat="1" ht="45" hidden="1">
      <c r="A1296" s="432" t="s">
        <v>108</v>
      </c>
      <c r="B1296" s="117" t="s">
        <v>279</v>
      </c>
      <c r="C1296" s="296">
        <v>2.2256</v>
      </c>
      <c r="D1296" s="309"/>
      <c r="E1296" s="333"/>
      <c r="F1296" s="125">
        <f>F1298+F1299+F1297</f>
        <v>20616483</v>
      </c>
      <c r="G1296" s="562" t="s">
        <v>618</v>
      </c>
      <c r="H1296" s="333"/>
      <c r="I1296" s="125">
        <f>I1298+I1299+I1297</f>
        <v>0</v>
      </c>
      <c r="J1296" s="323">
        <f t="shared" si="13"/>
        <v>0</v>
      </c>
      <c r="K1296" s="125">
        <f>K1298+K1299+K1297</f>
        <v>0</v>
      </c>
      <c r="L1296" s="183">
        <f t="shared" si="12"/>
        <v>20616483</v>
      </c>
    </row>
    <row r="1297" spans="1:12" s="326" customFormat="1" ht="15" customHeight="1" hidden="1">
      <c r="A1297" s="433"/>
      <c r="B1297" s="254" t="s">
        <v>276</v>
      </c>
      <c r="C1297" s="296"/>
      <c r="D1297" s="309"/>
      <c r="E1297" s="323" t="s">
        <v>74</v>
      </c>
      <c r="F1297" s="255">
        <v>14431538</v>
      </c>
      <c r="G1297" s="563"/>
      <c r="H1297" s="333"/>
      <c r="I1297" s="255"/>
      <c r="J1297" s="323">
        <f t="shared" si="13"/>
        <v>0</v>
      </c>
      <c r="K1297" s="255"/>
      <c r="L1297" s="183">
        <f t="shared" si="12"/>
        <v>14431538</v>
      </c>
    </row>
    <row r="1298" spans="1:12" s="326" customFormat="1" ht="15" customHeight="1" hidden="1">
      <c r="A1298" s="433"/>
      <c r="B1298" s="116" t="s">
        <v>277</v>
      </c>
      <c r="C1298" s="296"/>
      <c r="D1298" s="309"/>
      <c r="E1298" s="323" t="s">
        <v>75</v>
      </c>
      <c r="F1298" s="125">
        <v>5864929</v>
      </c>
      <c r="G1298" s="563"/>
      <c r="H1298" s="333"/>
      <c r="I1298" s="125"/>
      <c r="J1298" s="323">
        <f t="shared" si="13"/>
        <v>0</v>
      </c>
      <c r="K1298" s="125"/>
      <c r="L1298" s="183">
        <f t="shared" si="12"/>
        <v>5864929</v>
      </c>
    </row>
    <row r="1299" spans="1:12" s="326" customFormat="1" ht="15" customHeight="1" hidden="1">
      <c r="A1299" s="434"/>
      <c r="B1299" s="116" t="s">
        <v>93</v>
      </c>
      <c r="C1299" s="296"/>
      <c r="D1299" s="309"/>
      <c r="E1299" s="323" t="s">
        <v>75</v>
      </c>
      <c r="F1299" s="125">
        <v>320016</v>
      </c>
      <c r="G1299" s="564"/>
      <c r="H1299" s="333"/>
      <c r="I1299" s="125"/>
      <c r="J1299" s="323">
        <f t="shared" si="13"/>
        <v>0</v>
      </c>
      <c r="K1299" s="125"/>
      <c r="L1299" s="183">
        <f t="shared" si="12"/>
        <v>320016</v>
      </c>
    </row>
    <row r="1300" spans="1:12" s="326" customFormat="1" ht="30" hidden="1">
      <c r="A1300" s="432" t="s">
        <v>299</v>
      </c>
      <c r="B1300" s="117" t="s">
        <v>280</v>
      </c>
      <c r="C1300" s="296">
        <v>0.931</v>
      </c>
      <c r="D1300" s="309"/>
      <c r="E1300" s="333"/>
      <c r="F1300" s="125">
        <f>F1301+F1303+F1302</f>
        <v>10222554</v>
      </c>
      <c r="G1300" s="562" t="s">
        <v>619</v>
      </c>
      <c r="H1300" s="333"/>
      <c r="I1300" s="125">
        <f>I1301+I1303+I1302</f>
        <v>0</v>
      </c>
      <c r="J1300" s="323">
        <f t="shared" si="13"/>
        <v>0</v>
      </c>
      <c r="K1300" s="125">
        <f>K1301+K1303+K1302</f>
        <v>0</v>
      </c>
      <c r="L1300" s="183">
        <f t="shared" si="12"/>
        <v>10222554</v>
      </c>
    </row>
    <row r="1301" spans="1:12" s="326" customFormat="1" ht="15" customHeight="1" hidden="1">
      <c r="A1301" s="433"/>
      <c r="B1301" s="254" t="s">
        <v>276</v>
      </c>
      <c r="C1301" s="296"/>
      <c r="D1301" s="309"/>
      <c r="E1301" s="323" t="s">
        <v>74</v>
      </c>
      <c r="F1301" s="255">
        <v>7155787</v>
      </c>
      <c r="G1301" s="563"/>
      <c r="H1301" s="333"/>
      <c r="I1301" s="255"/>
      <c r="J1301" s="323">
        <f t="shared" si="13"/>
        <v>0</v>
      </c>
      <c r="K1301" s="255"/>
      <c r="L1301" s="183">
        <f t="shared" si="12"/>
        <v>7155787</v>
      </c>
    </row>
    <row r="1302" spans="1:12" s="326" customFormat="1" ht="15" customHeight="1" hidden="1">
      <c r="A1302" s="433"/>
      <c r="B1302" s="116" t="s">
        <v>277</v>
      </c>
      <c r="C1302" s="296"/>
      <c r="D1302" s="309"/>
      <c r="E1302" s="323" t="s">
        <v>75</v>
      </c>
      <c r="F1302" s="125">
        <v>2899678</v>
      </c>
      <c r="G1302" s="563"/>
      <c r="H1302" s="333"/>
      <c r="I1302" s="125"/>
      <c r="J1302" s="323">
        <f t="shared" si="13"/>
        <v>0</v>
      </c>
      <c r="K1302" s="125"/>
      <c r="L1302" s="183">
        <f t="shared" si="12"/>
        <v>2899678</v>
      </c>
    </row>
    <row r="1303" spans="1:12" s="326" customFormat="1" ht="15" customHeight="1" hidden="1">
      <c r="A1303" s="434"/>
      <c r="B1303" s="116" t="s">
        <v>93</v>
      </c>
      <c r="C1303" s="296"/>
      <c r="D1303" s="309"/>
      <c r="E1303" s="323" t="s">
        <v>75</v>
      </c>
      <c r="F1303" s="125">
        <v>167089</v>
      </c>
      <c r="G1303" s="564"/>
      <c r="H1303" s="333"/>
      <c r="I1303" s="125"/>
      <c r="J1303" s="323">
        <f t="shared" si="13"/>
        <v>0</v>
      </c>
      <c r="K1303" s="125"/>
      <c r="L1303" s="183">
        <f t="shared" si="12"/>
        <v>167089</v>
      </c>
    </row>
    <row r="1304" spans="1:12" s="326" customFormat="1" ht="45" hidden="1">
      <c r="A1304" s="432" t="s">
        <v>300</v>
      </c>
      <c r="B1304" s="116" t="s">
        <v>281</v>
      </c>
      <c r="C1304" s="296">
        <v>3.584</v>
      </c>
      <c r="D1304" s="309"/>
      <c r="E1304" s="333"/>
      <c r="F1304" s="125">
        <f>F1305+F1307+F1306</f>
        <v>43382321</v>
      </c>
      <c r="G1304" s="562" t="s">
        <v>620</v>
      </c>
      <c r="H1304" s="333"/>
      <c r="I1304" s="125">
        <f>I1305+I1307+I1306</f>
        <v>0</v>
      </c>
      <c r="J1304" s="323">
        <f t="shared" si="13"/>
        <v>0</v>
      </c>
      <c r="K1304" s="125">
        <f>K1305+K1307+K1306</f>
        <v>0</v>
      </c>
      <c r="L1304" s="183">
        <f t="shared" si="12"/>
        <v>43382321</v>
      </c>
    </row>
    <row r="1305" spans="1:12" s="326" customFormat="1" ht="15" customHeight="1" hidden="1">
      <c r="A1305" s="433"/>
      <c r="B1305" s="254" t="s">
        <v>276</v>
      </c>
      <c r="C1305" s="296"/>
      <c r="D1305" s="309"/>
      <c r="E1305" s="323" t="s">
        <v>74</v>
      </c>
      <c r="F1305" s="255">
        <v>30367624</v>
      </c>
      <c r="G1305" s="563"/>
      <c r="H1305" s="333"/>
      <c r="I1305" s="255"/>
      <c r="J1305" s="323">
        <f t="shared" si="13"/>
        <v>0</v>
      </c>
      <c r="K1305" s="255"/>
      <c r="L1305" s="183">
        <f t="shared" si="12"/>
        <v>30367624</v>
      </c>
    </row>
    <row r="1306" spans="1:12" s="326" customFormat="1" ht="15" customHeight="1" hidden="1">
      <c r="A1306" s="433"/>
      <c r="B1306" s="116" t="s">
        <v>277</v>
      </c>
      <c r="C1306" s="296"/>
      <c r="D1306" s="309"/>
      <c r="E1306" s="323" t="s">
        <v>75</v>
      </c>
      <c r="F1306" s="125">
        <v>11555597</v>
      </c>
      <c r="G1306" s="563"/>
      <c r="H1306" s="333"/>
      <c r="I1306" s="125"/>
      <c r="J1306" s="323">
        <f t="shared" si="13"/>
        <v>0</v>
      </c>
      <c r="K1306" s="125"/>
      <c r="L1306" s="183">
        <f t="shared" si="12"/>
        <v>11555597</v>
      </c>
    </row>
    <row r="1307" spans="1:12" s="326" customFormat="1" ht="15" customHeight="1" hidden="1">
      <c r="A1307" s="434"/>
      <c r="B1307" s="116" t="s">
        <v>93</v>
      </c>
      <c r="C1307" s="296"/>
      <c r="D1307" s="309"/>
      <c r="E1307" s="323" t="s">
        <v>75</v>
      </c>
      <c r="F1307" s="125">
        <v>1459100</v>
      </c>
      <c r="G1307" s="564"/>
      <c r="H1307" s="333"/>
      <c r="I1307" s="125"/>
      <c r="J1307" s="323">
        <f t="shared" si="13"/>
        <v>0</v>
      </c>
      <c r="K1307" s="125"/>
      <c r="L1307" s="183">
        <f t="shared" si="12"/>
        <v>1459100</v>
      </c>
    </row>
    <row r="1308" spans="1:12" s="326" customFormat="1" ht="30" hidden="1">
      <c r="A1308" s="432" t="s">
        <v>301</v>
      </c>
      <c r="B1308" s="116" t="s">
        <v>282</v>
      </c>
      <c r="C1308" s="296">
        <v>0.434</v>
      </c>
      <c r="D1308" s="309"/>
      <c r="E1308" s="333"/>
      <c r="F1308" s="125">
        <f>F1309+F1311+F1310</f>
        <v>15996738</v>
      </c>
      <c r="G1308" s="562" t="s">
        <v>621</v>
      </c>
      <c r="H1308" s="333"/>
      <c r="I1308" s="125">
        <f>I1309+I1311+I1310</f>
        <v>0</v>
      </c>
      <c r="J1308" s="323">
        <f t="shared" si="13"/>
        <v>0</v>
      </c>
      <c r="K1308" s="125">
        <f>K1309+K1311+K1310</f>
        <v>0</v>
      </c>
      <c r="L1308" s="183">
        <f t="shared" si="12"/>
        <v>15996738</v>
      </c>
    </row>
    <row r="1309" spans="1:12" s="326" customFormat="1" ht="15" customHeight="1" hidden="1">
      <c r="A1309" s="433"/>
      <c r="B1309" s="254" t="s">
        <v>276</v>
      </c>
      <c r="C1309" s="296"/>
      <c r="D1309" s="309"/>
      <c r="E1309" s="323" t="s">
        <v>74</v>
      </c>
      <c r="F1309" s="255">
        <v>5108180</v>
      </c>
      <c r="G1309" s="563"/>
      <c r="H1309" s="333"/>
      <c r="I1309" s="255"/>
      <c r="J1309" s="323">
        <f t="shared" si="13"/>
        <v>0</v>
      </c>
      <c r="K1309" s="255"/>
      <c r="L1309" s="183">
        <f t="shared" si="12"/>
        <v>5108180</v>
      </c>
    </row>
    <row r="1310" spans="1:12" s="326" customFormat="1" ht="15" customHeight="1" hidden="1">
      <c r="A1310" s="433"/>
      <c r="B1310" s="116" t="s">
        <v>277</v>
      </c>
      <c r="C1310" s="296"/>
      <c r="D1310" s="309"/>
      <c r="E1310" s="323" t="s">
        <v>75</v>
      </c>
      <c r="F1310" s="125">
        <v>10404443</v>
      </c>
      <c r="G1310" s="563"/>
      <c r="H1310" s="333"/>
      <c r="I1310" s="125"/>
      <c r="J1310" s="323">
        <f t="shared" si="13"/>
        <v>0</v>
      </c>
      <c r="K1310" s="125"/>
      <c r="L1310" s="183">
        <f t="shared" si="12"/>
        <v>10404443</v>
      </c>
    </row>
    <row r="1311" spans="1:12" s="326" customFormat="1" ht="15" customHeight="1" hidden="1">
      <c r="A1311" s="434"/>
      <c r="B1311" s="116" t="s">
        <v>93</v>
      </c>
      <c r="C1311" s="296"/>
      <c r="D1311" s="309"/>
      <c r="E1311" s="323" t="s">
        <v>75</v>
      </c>
      <c r="F1311" s="125">
        <v>484115</v>
      </c>
      <c r="G1311" s="564"/>
      <c r="H1311" s="333"/>
      <c r="I1311" s="125"/>
      <c r="J1311" s="323">
        <f t="shared" si="13"/>
        <v>0</v>
      </c>
      <c r="K1311" s="125"/>
      <c r="L1311" s="183">
        <f t="shared" si="12"/>
        <v>484115</v>
      </c>
    </row>
    <row r="1312" spans="1:12" s="326" customFormat="1" ht="45" hidden="1">
      <c r="A1312" s="432" t="s">
        <v>302</v>
      </c>
      <c r="B1312" s="117" t="s">
        <v>283</v>
      </c>
      <c r="C1312" s="296">
        <v>1.6143</v>
      </c>
      <c r="D1312" s="309"/>
      <c r="E1312" s="333"/>
      <c r="F1312" s="125">
        <f>F1313+F1315+F1314</f>
        <v>21479672</v>
      </c>
      <c r="G1312" s="562" t="s">
        <v>622</v>
      </c>
      <c r="H1312" s="333"/>
      <c r="I1312" s="125">
        <f>I1313+I1315+I1314</f>
        <v>0</v>
      </c>
      <c r="J1312" s="323">
        <f t="shared" si="13"/>
        <v>0</v>
      </c>
      <c r="K1312" s="125">
        <f>K1313+K1315+K1314</f>
        <v>0</v>
      </c>
      <c r="L1312" s="183">
        <f t="shared" si="12"/>
        <v>21479672</v>
      </c>
    </row>
    <row r="1313" spans="1:12" s="326" customFormat="1" ht="15" customHeight="1" hidden="1">
      <c r="A1313" s="433"/>
      <c r="B1313" s="254" t="s">
        <v>276</v>
      </c>
      <c r="C1313" s="296"/>
      <c r="D1313" s="309"/>
      <c r="E1313" s="323" t="s">
        <v>74</v>
      </c>
      <c r="F1313" s="255">
        <v>15035770</v>
      </c>
      <c r="G1313" s="563"/>
      <c r="H1313" s="333"/>
      <c r="I1313" s="255"/>
      <c r="J1313" s="323">
        <f t="shared" si="13"/>
        <v>0</v>
      </c>
      <c r="K1313" s="255"/>
      <c r="L1313" s="183">
        <f t="shared" si="12"/>
        <v>15035770</v>
      </c>
    </row>
    <row r="1314" spans="1:12" s="326" customFormat="1" ht="15" customHeight="1" hidden="1">
      <c r="A1314" s="433"/>
      <c r="B1314" s="116" t="s">
        <v>277</v>
      </c>
      <c r="C1314" s="296"/>
      <c r="D1314" s="309"/>
      <c r="E1314" s="323" t="s">
        <v>75</v>
      </c>
      <c r="F1314" s="125">
        <v>6106784</v>
      </c>
      <c r="G1314" s="563"/>
      <c r="H1314" s="333"/>
      <c r="I1314" s="125"/>
      <c r="J1314" s="323">
        <f t="shared" si="13"/>
        <v>0</v>
      </c>
      <c r="K1314" s="125"/>
      <c r="L1314" s="183">
        <f t="shared" si="12"/>
        <v>6106784</v>
      </c>
    </row>
    <row r="1315" spans="1:12" s="326" customFormat="1" ht="15" customHeight="1" hidden="1">
      <c r="A1315" s="434"/>
      <c r="B1315" s="116" t="s">
        <v>93</v>
      </c>
      <c r="C1315" s="296"/>
      <c r="D1315" s="309"/>
      <c r="E1315" s="323" t="s">
        <v>75</v>
      </c>
      <c r="F1315" s="125">
        <v>337118</v>
      </c>
      <c r="G1315" s="564"/>
      <c r="H1315" s="333"/>
      <c r="I1315" s="125"/>
      <c r="J1315" s="323">
        <f t="shared" si="13"/>
        <v>0</v>
      </c>
      <c r="K1315" s="125"/>
      <c r="L1315" s="183">
        <f t="shared" si="12"/>
        <v>337118</v>
      </c>
    </row>
    <row r="1316" spans="1:12" s="326" customFormat="1" ht="45" hidden="1">
      <c r="A1316" s="432" t="s">
        <v>303</v>
      </c>
      <c r="B1316" s="227" t="s">
        <v>284</v>
      </c>
      <c r="C1316" s="296">
        <v>3.2</v>
      </c>
      <c r="D1316" s="309"/>
      <c r="E1316" s="333"/>
      <c r="F1316" s="125">
        <f>F1317+F1319+F1318</f>
        <v>62089215</v>
      </c>
      <c r="G1316" s="432"/>
      <c r="H1316" s="333"/>
      <c r="I1316" s="125">
        <f>I1317+I1319+I1318</f>
        <v>0</v>
      </c>
      <c r="J1316" s="323">
        <f t="shared" si="13"/>
        <v>0</v>
      </c>
      <c r="K1316" s="125">
        <f>K1317+K1319+K1318</f>
        <v>0</v>
      </c>
      <c r="L1316" s="183">
        <f t="shared" si="12"/>
        <v>62089215</v>
      </c>
    </row>
    <row r="1317" spans="1:12" s="326" customFormat="1" ht="15" customHeight="1" hidden="1">
      <c r="A1317" s="433"/>
      <c r="B1317" s="254" t="s">
        <v>276</v>
      </c>
      <c r="C1317" s="296"/>
      <c r="D1317" s="309"/>
      <c r="E1317" s="323" t="s">
        <v>74</v>
      </c>
      <c r="F1317" s="255">
        <v>37664000</v>
      </c>
      <c r="G1317" s="433"/>
      <c r="H1317" s="333"/>
      <c r="I1317" s="255"/>
      <c r="J1317" s="323">
        <f t="shared" si="13"/>
        <v>0</v>
      </c>
      <c r="K1317" s="255"/>
      <c r="L1317" s="183">
        <f t="shared" si="12"/>
        <v>37664000</v>
      </c>
    </row>
    <row r="1318" spans="1:12" s="326" customFormat="1" ht="15" customHeight="1" hidden="1">
      <c r="A1318" s="433"/>
      <c r="B1318" s="116" t="s">
        <v>277</v>
      </c>
      <c r="C1318" s="296"/>
      <c r="D1318" s="309"/>
      <c r="E1318" s="323" t="s">
        <v>75</v>
      </c>
      <c r="F1318" s="125">
        <v>23410304</v>
      </c>
      <c r="G1318" s="433"/>
      <c r="H1318" s="333"/>
      <c r="I1318" s="125"/>
      <c r="J1318" s="323">
        <f t="shared" si="13"/>
        <v>0</v>
      </c>
      <c r="K1318" s="125"/>
      <c r="L1318" s="183">
        <f t="shared" si="12"/>
        <v>23410304</v>
      </c>
    </row>
    <row r="1319" spans="1:12" s="326" customFormat="1" ht="15" customHeight="1" hidden="1">
      <c r="A1319" s="434"/>
      <c r="B1319" s="116" t="s">
        <v>93</v>
      </c>
      <c r="C1319" s="296"/>
      <c r="D1319" s="309"/>
      <c r="E1319" s="323" t="s">
        <v>75</v>
      </c>
      <c r="F1319" s="125">
        <v>1014911</v>
      </c>
      <c r="G1319" s="434"/>
      <c r="H1319" s="333"/>
      <c r="I1319" s="125"/>
      <c r="J1319" s="323">
        <f t="shared" si="13"/>
        <v>0</v>
      </c>
      <c r="K1319" s="125"/>
      <c r="L1319" s="183">
        <f t="shared" si="12"/>
        <v>1014911</v>
      </c>
    </row>
    <row r="1320" spans="1:12" s="326" customFormat="1" ht="60" hidden="1">
      <c r="A1320" s="432" t="s">
        <v>304</v>
      </c>
      <c r="B1320" s="226" t="s">
        <v>285</v>
      </c>
      <c r="C1320" s="296">
        <v>5.646</v>
      </c>
      <c r="D1320" s="309"/>
      <c r="E1320" s="333"/>
      <c r="F1320" s="125">
        <f>F1321+F1323+F1322</f>
        <v>92095696</v>
      </c>
      <c r="G1320" s="562" t="s">
        <v>623</v>
      </c>
      <c r="H1320" s="333"/>
      <c r="I1320" s="125">
        <f>I1321+I1323+I1322</f>
        <v>0</v>
      </c>
      <c r="J1320" s="323">
        <f t="shared" si="13"/>
        <v>0</v>
      </c>
      <c r="K1320" s="125">
        <f>K1321+K1323+K1322</f>
        <v>0</v>
      </c>
      <c r="L1320" s="183">
        <f t="shared" si="12"/>
        <v>92095696</v>
      </c>
    </row>
    <row r="1321" spans="1:12" s="326" customFormat="1" ht="15" customHeight="1" hidden="1">
      <c r="A1321" s="433"/>
      <c r="B1321" s="254" t="s">
        <v>276</v>
      </c>
      <c r="C1321" s="296"/>
      <c r="D1321" s="309"/>
      <c r="E1321" s="323" t="s">
        <v>74</v>
      </c>
      <c r="F1321" s="255">
        <v>64466987</v>
      </c>
      <c r="G1321" s="563"/>
      <c r="H1321" s="333"/>
      <c r="I1321" s="255"/>
      <c r="J1321" s="323">
        <f t="shared" si="13"/>
        <v>0</v>
      </c>
      <c r="K1321" s="255"/>
      <c r="L1321" s="183">
        <f t="shared" si="12"/>
        <v>64466987</v>
      </c>
    </row>
    <row r="1322" spans="1:12" s="326" customFormat="1" ht="15" customHeight="1" hidden="1">
      <c r="A1322" s="433"/>
      <c r="B1322" s="116" t="s">
        <v>277</v>
      </c>
      <c r="C1322" s="296"/>
      <c r="D1322" s="309"/>
      <c r="E1322" s="323" t="s">
        <v>75</v>
      </c>
      <c r="F1322" s="125">
        <v>26233845</v>
      </c>
      <c r="G1322" s="563"/>
      <c r="H1322" s="333"/>
      <c r="I1322" s="125"/>
      <c r="J1322" s="323">
        <f t="shared" si="13"/>
        <v>0</v>
      </c>
      <c r="K1322" s="125"/>
      <c r="L1322" s="183">
        <f t="shared" si="12"/>
        <v>26233845</v>
      </c>
    </row>
    <row r="1323" spans="1:12" s="326" customFormat="1" ht="15" customHeight="1" hidden="1">
      <c r="A1323" s="434"/>
      <c r="B1323" s="116" t="s">
        <v>93</v>
      </c>
      <c r="C1323" s="427">
        <v>5.053</v>
      </c>
      <c r="D1323" s="432"/>
      <c r="E1323" s="323" t="s">
        <v>75</v>
      </c>
      <c r="F1323" s="125">
        <v>1394864</v>
      </c>
      <c r="G1323" s="564"/>
      <c r="H1323" s="137">
        <f>H1324+H1326+H1325</f>
        <v>0</v>
      </c>
      <c r="I1323" s="125"/>
      <c r="J1323" s="323">
        <f t="shared" si="13"/>
        <v>0</v>
      </c>
      <c r="K1323" s="125"/>
      <c r="L1323" s="183">
        <f t="shared" si="12"/>
        <v>1394864</v>
      </c>
    </row>
    <row r="1324" spans="1:12" s="326" customFormat="1" ht="45" hidden="1">
      <c r="A1324" s="432" t="s">
        <v>305</v>
      </c>
      <c r="B1324" s="226" t="s">
        <v>286</v>
      </c>
      <c r="C1324" s="428"/>
      <c r="D1324" s="433"/>
      <c r="E1324" s="305"/>
      <c r="F1324" s="125">
        <f>F1325+F1327+F1326</f>
        <v>100746032</v>
      </c>
      <c r="G1324" s="571"/>
      <c r="I1324" s="125">
        <f>I1325+I1327+I1326</f>
        <v>0</v>
      </c>
      <c r="J1324" s="323">
        <f t="shared" si="13"/>
        <v>0</v>
      </c>
      <c r="K1324" s="125">
        <f>K1325+K1327+K1326</f>
        <v>0</v>
      </c>
      <c r="L1324" s="183">
        <f t="shared" si="12"/>
        <v>100746032</v>
      </c>
    </row>
    <row r="1325" spans="1:12" s="326" customFormat="1" ht="15" customHeight="1" hidden="1">
      <c r="A1325" s="433"/>
      <c r="B1325" s="254" t="s">
        <v>276</v>
      </c>
      <c r="C1325" s="428"/>
      <c r="D1325" s="433"/>
      <c r="E1325" s="323" t="s">
        <v>74</v>
      </c>
      <c r="F1325" s="255">
        <v>59473810</v>
      </c>
      <c r="G1325" s="572"/>
      <c r="I1325" s="255"/>
      <c r="J1325" s="323">
        <f t="shared" si="13"/>
        <v>0</v>
      </c>
      <c r="K1325" s="255"/>
      <c r="L1325" s="183">
        <f t="shared" si="12"/>
        <v>59473810</v>
      </c>
    </row>
    <row r="1326" spans="1:12" s="326" customFormat="1" ht="15" customHeight="1" hidden="1">
      <c r="A1326" s="433"/>
      <c r="B1326" s="116" t="s">
        <v>277</v>
      </c>
      <c r="C1326" s="429"/>
      <c r="D1326" s="434"/>
      <c r="E1326" s="323" t="s">
        <v>75</v>
      </c>
      <c r="F1326" s="125">
        <v>39754345</v>
      </c>
      <c r="G1326" s="572"/>
      <c r="I1326" s="125"/>
      <c r="J1326" s="323">
        <f t="shared" si="13"/>
        <v>0</v>
      </c>
      <c r="K1326" s="125"/>
      <c r="L1326" s="183">
        <f t="shared" si="12"/>
        <v>39754345</v>
      </c>
    </row>
    <row r="1327" spans="1:12" s="326" customFormat="1" ht="15" hidden="1">
      <c r="A1327" s="434"/>
      <c r="B1327" s="116" t="s">
        <v>93</v>
      </c>
      <c r="C1327" s="313"/>
      <c r="D1327" s="316"/>
      <c r="E1327" s="323" t="s">
        <v>75</v>
      </c>
      <c r="F1327" s="125">
        <v>1517877</v>
      </c>
      <c r="G1327" s="573"/>
      <c r="H1327" s="125" t="e">
        <f>SUM(#REF!)</f>
        <v>#REF!</v>
      </c>
      <c r="I1327" s="125"/>
      <c r="J1327" s="323">
        <f t="shared" si="13"/>
        <v>0</v>
      </c>
      <c r="K1327" s="125"/>
      <c r="L1327" s="183">
        <f t="shared" si="12"/>
        <v>1517877</v>
      </c>
    </row>
    <row r="1328" spans="1:12" s="171" customFormat="1" ht="15" hidden="1">
      <c r="A1328" s="506" t="s">
        <v>12</v>
      </c>
      <c r="B1328" s="470" t="s">
        <v>103</v>
      </c>
      <c r="C1328" s="427">
        <f>SUM(C1332:C1343)</f>
        <v>0</v>
      </c>
      <c r="D1328" s="403"/>
      <c r="E1328" s="81" t="s">
        <v>34</v>
      </c>
      <c r="F1328" s="257">
        <f>SUM(F1329:F1331)</f>
        <v>252019103</v>
      </c>
      <c r="G1328" s="568"/>
      <c r="H1328" s="257">
        <f>SUM(H1329:H1331)</f>
        <v>0</v>
      </c>
      <c r="I1328" s="257">
        <f>SUM(I1329:I1331)</f>
        <v>0</v>
      </c>
      <c r="J1328" s="432">
        <f t="shared" si="13"/>
        <v>0</v>
      </c>
      <c r="K1328" s="257">
        <f>SUM(K1329:K1331)</f>
        <v>0</v>
      </c>
      <c r="L1328" s="69">
        <f t="shared" si="12"/>
        <v>252019103</v>
      </c>
    </row>
    <row r="1329" spans="1:12" s="171" customFormat="1" ht="15" hidden="1">
      <c r="A1329" s="507"/>
      <c r="B1329" s="471"/>
      <c r="C1329" s="428"/>
      <c r="D1329" s="404"/>
      <c r="E1329" s="81" t="s">
        <v>74</v>
      </c>
      <c r="F1329" s="257">
        <f>SUM(F1341,F1337,F1333,F1349)</f>
        <v>124950444</v>
      </c>
      <c r="G1329" s="569"/>
      <c r="H1329" s="257">
        <f>SUM(H1341,H1337,H1333)</f>
        <v>0</v>
      </c>
      <c r="I1329" s="257">
        <f>SUM(I1341,I1337,I1333)</f>
        <v>0</v>
      </c>
      <c r="J1329" s="433"/>
      <c r="K1329" s="257">
        <f>SUM(K1341,K1337,K1333)</f>
        <v>0</v>
      </c>
      <c r="L1329" s="69">
        <f t="shared" si="12"/>
        <v>124950444</v>
      </c>
    </row>
    <row r="1330" spans="1:12" s="171" customFormat="1" ht="15" hidden="1">
      <c r="A1330" s="507"/>
      <c r="B1330" s="471"/>
      <c r="C1330" s="428"/>
      <c r="D1330" s="404"/>
      <c r="E1330" s="81" t="s">
        <v>75</v>
      </c>
      <c r="F1330" s="257">
        <f>SUM(F1342,F1338,F1334,F1350)</f>
        <v>125000000</v>
      </c>
      <c r="G1330" s="569"/>
      <c r="H1330" s="257">
        <f>SUM(H1342,H1338,H1334)</f>
        <v>0</v>
      </c>
      <c r="I1330" s="257">
        <f>SUM(I1342,I1338,I1334)</f>
        <v>0</v>
      </c>
      <c r="J1330" s="433"/>
      <c r="K1330" s="257">
        <f>SUM(K1342,K1338,K1334)</f>
        <v>0</v>
      </c>
      <c r="L1330" s="69">
        <f t="shared" si="12"/>
        <v>125000000</v>
      </c>
    </row>
    <row r="1331" spans="1:12" s="171" customFormat="1" ht="15" hidden="1">
      <c r="A1331" s="508"/>
      <c r="B1331" s="472"/>
      <c r="C1331" s="429"/>
      <c r="D1331" s="405"/>
      <c r="E1331" s="81" t="s">
        <v>18</v>
      </c>
      <c r="F1331" s="164">
        <f>SUM(F1343,F1339,F1335)</f>
        <v>2068659</v>
      </c>
      <c r="G1331" s="570"/>
      <c r="H1331" s="258"/>
      <c r="I1331" s="164">
        <f>SUM(I1343,I1339,I1335)</f>
        <v>0</v>
      </c>
      <c r="J1331" s="434"/>
      <c r="K1331" s="164">
        <f>SUM(K1343,K1339,K1335)</f>
        <v>0</v>
      </c>
      <c r="L1331" s="69">
        <f t="shared" si="12"/>
        <v>2068659</v>
      </c>
    </row>
    <row r="1332" spans="1:12" s="171" customFormat="1" ht="19.5" customHeight="1" hidden="1">
      <c r="A1332" s="391" t="s">
        <v>109</v>
      </c>
      <c r="B1332" s="392" t="s">
        <v>443</v>
      </c>
      <c r="C1332" s="375"/>
      <c r="D1332" s="378"/>
      <c r="E1332" s="81" t="s">
        <v>34</v>
      </c>
      <c r="F1332" s="164">
        <f>SUM(F1333:F1335)</f>
        <v>41046597</v>
      </c>
      <c r="G1332" s="476"/>
      <c r="H1332" s="339">
        <f>SUM(H1333:H1335)</f>
        <v>0</v>
      </c>
      <c r="I1332" s="164">
        <f>SUM(I1333:I1335)</f>
        <v>0</v>
      </c>
      <c r="J1332" s="502">
        <f>100*(I1332/F1332)</f>
        <v>0</v>
      </c>
      <c r="K1332" s="164">
        <f>SUM(K1333:K1335)</f>
        <v>0</v>
      </c>
      <c r="L1332" s="69">
        <f t="shared" si="12"/>
        <v>41046597</v>
      </c>
    </row>
    <row r="1333" spans="1:12" s="171" customFormat="1" ht="19.5" customHeight="1" hidden="1">
      <c r="A1333" s="391"/>
      <c r="B1333" s="392"/>
      <c r="C1333" s="376"/>
      <c r="D1333" s="379"/>
      <c r="E1333" s="305" t="s">
        <v>74</v>
      </c>
      <c r="F1333" s="250">
        <v>28200000</v>
      </c>
      <c r="G1333" s="477"/>
      <c r="H1333" s="259"/>
      <c r="I1333" s="250"/>
      <c r="J1333" s="503"/>
      <c r="K1333" s="250"/>
      <c r="L1333" s="69">
        <f t="shared" si="12"/>
        <v>28200000</v>
      </c>
    </row>
    <row r="1334" spans="1:12" s="171" customFormat="1" ht="19.5" customHeight="1" hidden="1">
      <c r="A1334" s="391"/>
      <c r="B1334" s="392"/>
      <c r="C1334" s="376"/>
      <c r="D1334" s="379"/>
      <c r="E1334" s="305" t="s">
        <v>75</v>
      </c>
      <c r="F1334" s="250">
        <v>12204267</v>
      </c>
      <c r="G1334" s="477"/>
      <c r="H1334" s="259"/>
      <c r="I1334" s="250"/>
      <c r="J1334" s="503"/>
      <c r="K1334" s="250"/>
      <c r="L1334" s="69">
        <f t="shared" si="12"/>
        <v>12204267</v>
      </c>
    </row>
    <row r="1335" spans="1:12" s="171" customFormat="1" ht="19.5" customHeight="1" hidden="1">
      <c r="A1335" s="391"/>
      <c r="B1335" s="392"/>
      <c r="C1335" s="377"/>
      <c r="D1335" s="380"/>
      <c r="E1335" s="305" t="s">
        <v>18</v>
      </c>
      <c r="F1335" s="237">
        <v>642330</v>
      </c>
      <c r="G1335" s="478"/>
      <c r="H1335" s="259"/>
      <c r="I1335" s="237"/>
      <c r="J1335" s="504"/>
      <c r="K1335" s="237"/>
      <c r="L1335" s="69">
        <f t="shared" si="12"/>
        <v>642330</v>
      </c>
    </row>
    <row r="1336" spans="1:12" s="171" customFormat="1" ht="19.5" customHeight="1" hidden="1">
      <c r="A1336" s="391" t="s">
        <v>110</v>
      </c>
      <c r="B1336" s="374" t="s">
        <v>444</v>
      </c>
      <c r="C1336" s="375"/>
      <c r="D1336" s="378"/>
      <c r="E1336" s="81" t="s">
        <v>34</v>
      </c>
      <c r="F1336" s="164">
        <f>SUM(F1337:F1339)</f>
        <v>8680680</v>
      </c>
      <c r="G1336" s="476"/>
      <c r="H1336" s="339">
        <f>SUM(H1337:H1339)</f>
        <v>0</v>
      </c>
      <c r="I1336" s="164">
        <f>SUM(I1337:I1339)</f>
        <v>0</v>
      </c>
      <c r="J1336" s="502">
        <f>100*(I1336/F1336)</f>
        <v>0</v>
      </c>
      <c r="K1336" s="164">
        <f>SUM(K1337:K1339)</f>
        <v>0</v>
      </c>
      <c r="L1336" s="69">
        <f t="shared" si="12"/>
        <v>8680680</v>
      </c>
    </row>
    <row r="1337" spans="1:12" s="171" customFormat="1" ht="19.5" customHeight="1" hidden="1">
      <c r="A1337" s="391"/>
      <c r="B1337" s="374"/>
      <c r="C1337" s="376"/>
      <c r="D1337" s="379"/>
      <c r="E1337" s="305" t="s">
        <v>74</v>
      </c>
      <c r="F1337" s="250">
        <v>4950000</v>
      </c>
      <c r="G1337" s="477"/>
      <c r="H1337" s="259"/>
      <c r="I1337" s="250"/>
      <c r="J1337" s="503"/>
      <c r="K1337" s="250"/>
      <c r="L1337" s="69">
        <f t="shared" si="12"/>
        <v>4950000</v>
      </c>
    </row>
    <row r="1338" spans="1:12" s="171" customFormat="1" ht="19.5" customHeight="1" hidden="1">
      <c r="A1338" s="391"/>
      <c r="B1338" s="374"/>
      <c r="C1338" s="376"/>
      <c r="D1338" s="379"/>
      <c r="E1338" s="305" t="s">
        <v>75</v>
      </c>
      <c r="F1338" s="250">
        <v>3544146</v>
      </c>
      <c r="G1338" s="477"/>
      <c r="H1338" s="259"/>
      <c r="I1338" s="250"/>
      <c r="J1338" s="503"/>
      <c r="K1338" s="250"/>
      <c r="L1338" s="69">
        <f t="shared" si="12"/>
        <v>3544146</v>
      </c>
    </row>
    <row r="1339" spans="1:12" s="171" customFormat="1" ht="19.5" customHeight="1" hidden="1">
      <c r="A1339" s="391"/>
      <c r="B1339" s="374"/>
      <c r="C1339" s="377"/>
      <c r="D1339" s="380"/>
      <c r="E1339" s="305" t="s">
        <v>18</v>
      </c>
      <c r="F1339" s="237">
        <v>186534</v>
      </c>
      <c r="G1339" s="478"/>
      <c r="H1339" s="259"/>
      <c r="I1339" s="237"/>
      <c r="J1339" s="504"/>
      <c r="K1339" s="237"/>
      <c r="L1339" s="69">
        <f t="shared" si="12"/>
        <v>186534</v>
      </c>
    </row>
    <row r="1340" spans="1:12" s="171" customFormat="1" ht="19.5" customHeight="1" hidden="1">
      <c r="A1340" s="391" t="s">
        <v>111</v>
      </c>
      <c r="B1340" s="374" t="s">
        <v>445</v>
      </c>
      <c r="C1340" s="375"/>
      <c r="D1340" s="378"/>
      <c r="E1340" s="81" t="s">
        <v>34</v>
      </c>
      <c r="F1340" s="164">
        <f>SUM(F1341:F1343)</f>
        <v>74975891</v>
      </c>
      <c r="G1340" s="476"/>
      <c r="H1340" s="339">
        <f>SUM(H1341:H1343)</f>
        <v>0</v>
      </c>
      <c r="I1340" s="164">
        <f>SUM(I1341:I1343)</f>
        <v>0</v>
      </c>
      <c r="J1340" s="502">
        <f>100*(I1340/F1340)</f>
        <v>0</v>
      </c>
      <c r="K1340" s="164">
        <f>SUM(K1341:K1343)</f>
        <v>0</v>
      </c>
      <c r="L1340" s="69">
        <f aca="true" t="shared" si="14" ref="L1340:L1347">F1340-K1340</f>
        <v>74975891</v>
      </c>
    </row>
    <row r="1341" spans="1:12" s="171" customFormat="1" ht="19.5" customHeight="1" hidden="1">
      <c r="A1341" s="391"/>
      <c r="B1341" s="374"/>
      <c r="C1341" s="376"/>
      <c r="D1341" s="379"/>
      <c r="E1341" s="305" t="s">
        <v>74</v>
      </c>
      <c r="F1341" s="250">
        <v>50180000</v>
      </c>
      <c r="G1341" s="477"/>
      <c r="H1341" s="326"/>
      <c r="I1341" s="250"/>
      <c r="J1341" s="503"/>
      <c r="K1341" s="250"/>
      <c r="L1341" s="69">
        <f t="shared" si="14"/>
        <v>50180000</v>
      </c>
    </row>
    <row r="1342" spans="1:12" s="171" customFormat="1" ht="19.5" customHeight="1" hidden="1">
      <c r="A1342" s="391"/>
      <c r="B1342" s="374"/>
      <c r="C1342" s="376"/>
      <c r="D1342" s="379"/>
      <c r="E1342" s="305" t="s">
        <v>75</v>
      </c>
      <c r="F1342" s="250">
        <v>23556096</v>
      </c>
      <c r="G1342" s="477"/>
      <c r="H1342" s="326"/>
      <c r="I1342" s="250"/>
      <c r="J1342" s="503"/>
      <c r="K1342" s="250"/>
      <c r="L1342" s="69">
        <f t="shared" si="14"/>
        <v>23556096</v>
      </c>
    </row>
    <row r="1343" spans="1:12" s="171" customFormat="1" ht="19.5" customHeight="1" hidden="1">
      <c r="A1343" s="391"/>
      <c r="B1343" s="374"/>
      <c r="C1343" s="377"/>
      <c r="D1343" s="380"/>
      <c r="E1343" s="305" t="s">
        <v>18</v>
      </c>
      <c r="F1343" s="125">
        <v>1239795</v>
      </c>
      <c r="G1343" s="478"/>
      <c r="H1343" s="326"/>
      <c r="I1343" s="125"/>
      <c r="J1343" s="504"/>
      <c r="K1343" s="125"/>
      <c r="L1343" s="69">
        <f t="shared" si="14"/>
        <v>1239795</v>
      </c>
    </row>
    <row r="1344" spans="1:12" s="171" customFormat="1" ht="19.5" customHeight="1" hidden="1">
      <c r="A1344" s="391" t="s">
        <v>442</v>
      </c>
      <c r="B1344" s="374"/>
      <c r="C1344" s="375"/>
      <c r="D1344" s="378"/>
      <c r="E1344" s="81" t="s">
        <v>34</v>
      </c>
      <c r="F1344" s="164">
        <f>SUM(F1345:F1347)</f>
        <v>0</v>
      </c>
      <c r="G1344" s="476"/>
      <c r="H1344" s="339">
        <f>SUM(H1345:H1347)</f>
        <v>0</v>
      </c>
      <c r="I1344" s="164">
        <f>SUM(I1345:I1347)</f>
        <v>0</v>
      </c>
      <c r="J1344" s="502" t="e">
        <f>100*(I1344/F1344)</f>
        <v>#DIV/0!</v>
      </c>
      <c r="K1344" s="164">
        <f>SUM(K1345:K1347)</f>
        <v>0</v>
      </c>
      <c r="L1344" s="69">
        <f t="shared" si="14"/>
        <v>0</v>
      </c>
    </row>
    <row r="1345" spans="1:12" s="171" customFormat="1" ht="19.5" customHeight="1" hidden="1">
      <c r="A1345" s="391"/>
      <c r="B1345" s="374"/>
      <c r="C1345" s="376"/>
      <c r="D1345" s="379"/>
      <c r="E1345" s="305" t="s">
        <v>74</v>
      </c>
      <c r="F1345" s="250"/>
      <c r="G1345" s="477"/>
      <c r="H1345" s="326"/>
      <c r="I1345" s="250"/>
      <c r="J1345" s="503"/>
      <c r="K1345" s="250"/>
      <c r="L1345" s="69">
        <f t="shared" si="14"/>
        <v>0</v>
      </c>
    </row>
    <row r="1346" spans="1:12" s="171" customFormat="1" ht="19.5" customHeight="1" hidden="1">
      <c r="A1346" s="391"/>
      <c r="B1346" s="374"/>
      <c r="C1346" s="376"/>
      <c r="D1346" s="379"/>
      <c r="E1346" s="305" t="s">
        <v>75</v>
      </c>
      <c r="F1346" s="250"/>
      <c r="G1346" s="477"/>
      <c r="H1346" s="326"/>
      <c r="I1346" s="250"/>
      <c r="J1346" s="503"/>
      <c r="K1346" s="250"/>
      <c r="L1346" s="69">
        <f t="shared" si="14"/>
        <v>0</v>
      </c>
    </row>
    <row r="1347" spans="1:12" s="171" customFormat="1" ht="19.5" customHeight="1" hidden="1">
      <c r="A1347" s="391"/>
      <c r="B1347" s="374"/>
      <c r="C1347" s="377"/>
      <c r="D1347" s="380"/>
      <c r="E1347" s="305" t="s">
        <v>18</v>
      </c>
      <c r="F1347" s="125"/>
      <c r="G1347" s="478"/>
      <c r="H1347" s="326"/>
      <c r="I1347" s="125"/>
      <c r="J1347" s="504"/>
      <c r="K1347" s="125"/>
      <c r="L1347" s="69">
        <f t="shared" si="14"/>
        <v>0</v>
      </c>
    </row>
    <row r="1348" spans="1:12" s="171" customFormat="1" ht="19.5" customHeight="1" hidden="1">
      <c r="A1348" s="406" t="s">
        <v>196</v>
      </c>
      <c r="B1348" s="493" t="s">
        <v>86</v>
      </c>
      <c r="C1348" s="496"/>
      <c r="D1348" s="496"/>
      <c r="E1348" s="81" t="s">
        <v>34</v>
      </c>
      <c r="F1348" s="164">
        <f>SUM(F1349:F1350)</f>
        <v>127315935</v>
      </c>
      <c r="G1348" s="378"/>
      <c r="H1348" s="326"/>
      <c r="I1348" s="125"/>
      <c r="J1348" s="301"/>
      <c r="K1348" s="125"/>
      <c r="L1348" s="69"/>
    </row>
    <row r="1349" spans="1:12" s="171" customFormat="1" ht="19.5" customHeight="1" hidden="1">
      <c r="A1349" s="407"/>
      <c r="B1349" s="494"/>
      <c r="C1349" s="497"/>
      <c r="D1349" s="497"/>
      <c r="E1349" s="305" t="s">
        <v>74</v>
      </c>
      <c r="F1349" s="250">
        <v>41620444</v>
      </c>
      <c r="G1349" s="379"/>
      <c r="H1349" s="326"/>
      <c r="I1349" s="125"/>
      <c r="J1349" s="301"/>
      <c r="K1349" s="125"/>
      <c r="L1349" s="69"/>
    </row>
    <row r="1350" spans="1:12" s="171" customFormat="1" ht="19.5" customHeight="1" hidden="1">
      <c r="A1350" s="408"/>
      <c r="B1350" s="495"/>
      <c r="C1350" s="498"/>
      <c r="D1350" s="498"/>
      <c r="E1350" s="305" t="s">
        <v>75</v>
      </c>
      <c r="F1350" s="250">
        <v>85695491</v>
      </c>
      <c r="G1350" s="380"/>
      <c r="H1350" s="326"/>
      <c r="I1350" s="125"/>
      <c r="J1350" s="301"/>
      <c r="K1350" s="125"/>
      <c r="L1350" s="69"/>
    </row>
    <row r="1351" spans="1:12" s="326" customFormat="1" ht="29.25" customHeight="1" hidden="1">
      <c r="A1351" s="532" t="s">
        <v>92</v>
      </c>
      <c r="B1351" s="566" t="s">
        <v>287</v>
      </c>
      <c r="C1351" s="540"/>
      <c r="D1351" s="384"/>
      <c r="E1351" s="333" t="s">
        <v>96</v>
      </c>
      <c r="F1351" s="165">
        <f>SUM(F1352:F1353)</f>
        <v>7080060.930000001</v>
      </c>
      <c r="G1351" s="432"/>
      <c r="H1351" s="333">
        <f>SUM(H1352:H1353)</f>
        <v>0</v>
      </c>
      <c r="I1351" s="165">
        <f>SUM(I1352:I1353)</f>
        <v>0</v>
      </c>
      <c r="J1351" s="333">
        <f aca="true" t="shared" si="15" ref="J1351:J1366">100*(I1351/F1351)</f>
        <v>0</v>
      </c>
      <c r="K1351" s="165">
        <f>SUM(K1352:K1353)</f>
        <v>0</v>
      </c>
      <c r="L1351" s="74">
        <f>SUM(L1352:L1353)</f>
        <v>11190017.05</v>
      </c>
    </row>
    <row r="1352" spans="1:12" s="326" customFormat="1" ht="35.25" customHeight="1" hidden="1">
      <c r="A1352" s="532"/>
      <c r="B1352" s="567"/>
      <c r="C1352" s="540"/>
      <c r="D1352" s="384"/>
      <c r="E1352" s="333" t="s">
        <v>74</v>
      </c>
      <c r="F1352" s="165">
        <f>F1355</f>
        <v>0</v>
      </c>
      <c r="G1352" s="433"/>
      <c r="H1352" s="333">
        <f>SUM(H1355,H1389)</f>
        <v>0</v>
      </c>
      <c r="I1352" s="165">
        <f>SUM(I1355,I1389)</f>
        <v>0</v>
      </c>
      <c r="J1352" s="333" t="e">
        <f t="shared" si="15"/>
        <v>#DIV/0!</v>
      </c>
      <c r="K1352" s="165">
        <f>SUM(K1355,K1389)</f>
        <v>0</v>
      </c>
      <c r="L1352" s="74">
        <f>SUM(L1355,L1389)</f>
        <v>2109978.06</v>
      </c>
    </row>
    <row r="1353" spans="1:12" s="326" customFormat="1" ht="39" customHeight="1" hidden="1">
      <c r="A1353" s="532"/>
      <c r="B1353" s="567"/>
      <c r="C1353" s="540"/>
      <c r="D1353" s="384"/>
      <c r="E1353" s="333" t="s">
        <v>75</v>
      </c>
      <c r="F1353" s="165">
        <f>F1356</f>
        <v>7080060.930000001</v>
      </c>
      <c r="G1353" s="433"/>
      <c r="H1353" s="333">
        <f>SUM(H1356,H1390)</f>
        <v>0</v>
      </c>
      <c r="I1353" s="165">
        <f>SUM(I1356,I1390)</f>
        <v>0</v>
      </c>
      <c r="J1353" s="333">
        <f t="shared" si="15"/>
        <v>0</v>
      </c>
      <c r="K1353" s="165">
        <f>SUM(K1356,K1390)</f>
        <v>0</v>
      </c>
      <c r="L1353" s="74">
        <f>SUM(L1356,L1390)</f>
        <v>9080038.99</v>
      </c>
    </row>
    <row r="1354" spans="1:12" s="326" customFormat="1" ht="15" customHeight="1" hidden="1">
      <c r="A1354" s="532" t="s">
        <v>1</v>
      </c>
      <c r="B1354" s="565" t="s">
        <v>97</v>
      </c>
      <c r="C1354" s="533">
        <f>SUM(C1357:C1369)</f>
        <v>14.925</v>
      </c>
      <c r="D1354" s="384"/>
      <c r="E1354" s="333" t="s">
        <v>34</v>
      </c>
      <c r="F1354" s="165">
        <f>SUM(F1355:F1356)</f>
        <v>7080060.930000001</v>
      </c>
      <c r="G1354" s="432"/>
      <c r="H1354" s="333"/>
      <c r="I1354" s="165">
        <f>SUM(I1355:I1356)</f>
        <v>0</v>
      </c>
      <c r="J1354" s="333">
        <f t="shared" si="15"/>
        <v>0</v>
      </c>
      <c r="K1354" s="165">
        <f>SUM(K1355:K1356)</f>
        <v>0</v>
      </c>
      <c r="L1354" s="68">
        <f aca="true" t="shared" si="16" ref="L1354:L1382">F1354-K1354</f>
        <v>7080060.930000001</v>
      </c>
    </row>
    <row r="1355" spans="1:12" s="326" customFormat="1" ht="15" customHeight="1" hidden="1">
      <c r="A1355" s="532"/>
      <c r="B1355" s="565"/>
      <c r="C1355" s="533"/>
      <c r="D1355" s="384"/>
      <c r="E1355" s="333" t="s">
        <v>74</v>
      </c>
      <c r="F1355" s="165">
        <f>SUM(F1358,F1362,F1367)</f>
        <v>0</v>
      </c>
      <c r="G1355" s="433"/>
      <c r="H1355" s="333"/>
      <c r="I1355" s="165">
        <f>SUM(I1358,I1362,I1367)</f>
        <v>0</v>
      </c>
      <c r="J1355" s="333" t="e">
        <f t="shared" si="15"/>
        <v>#DIV/0!</v>
      </c>
      <c r="K1355" s="165">
        <f>SUM(K1358,K1362,K1367)</f>
        <v>0</v>
      </c>
      <c r="L1355" s="68">
        <f t="shared" si="16"/>
        <v>0</v>
      </c>
    </row>
    <row r="1356" spans="1:12" s="326" customFormat="1" ht="15" customHeight="1" hidden="1">
      <c r="A1356" s="532"/>
      <c r="B1356" s="565"/>
      <c r="C1356" s="533"/>
      <c r="D1356" s="384"/>
      <c r="E1356" s="333" t="s">
        <v>75</v>
      </c>
      <c r="F1356" s="165">
        <f>SUM(F1359,F1360,F1363,F1364,F1365,F1368,F1369)</f>
        <v>7080060.930000001</v>
      </c>
      <c r="G1356" s="434"/>
      <c r="H1356" s="333"/>
      <c r="I1356" s="165">
        <f>SUM(I1359,I1360,I1363,I1364,I1365,I1368,I1369)</f>
        <v>0</v>
      </c>
      <c r="J1356" s="333">
        <f t="shared" si="15"/>
        <v>0</v>
      </c>
      <c r="K1356" s="165">
        <f>SUM(K1359,K1360,K1363,K1364,K1365,K1368,K1369)</f>
        <v>0</v>
      </c>
      <c r="L1356" s="68">
        <f t="shared" si="16"/>
        <v>7080060.930000001</v>
      </c>
    </row>
    <row r="1357" spans="1:12" s="326" customFormat="1" ht="45" hidden="1">
      <c r="A1357" s="432" t="s">
        <v>306</v>
      </c>
      <c r="B1357" s="335" t="s">
        <v>288</v>
      </c>
      <c r="C1357" s="298">
        <v>4.925</v>
      </c>
      <c r="D1357" s="310"/>
      <c r="E1357" s="333"/>
      <c r="F1357" s="125">
        <f>F1359+F1360+F1358</f>
        <v>4067485.66</v>
      </c>
      <c r="G1357" s="310"/>
      <c r="H1357" s="333"/>
      <c r="I1357" s="125">
        <f>I1359+I1360+I1358</f>
        <v>0</v>
      </c>
      <c r="J1357" s="323">
        <f t="shared" si="15"/>
        <v>0</v>
      </c>
      <c r="K1357" s="125">
        <f>K1359+K1360+K1358</f>
        <v>0</v>
      </c>
      <c r="L1357" s="68">
        <f t="shared" si="16"/>
        <v>4067485.66</v>
      </c>
    </row>
    <row r="1358" spans="1:12" s="326" customFormat="1" ht="15" hidden="1">
      <c r="A1358" s="433"/>
      <c r="B1358" s="254" t="s">
        <v>276</v>
      </c>
      <c r="C1358" s="298"/>
      <c r="D1358" s="310"/>
      <c r="E1358" s="323" t="s">
        <v>74</v>
      </c>
      <c r="F1358" s="125"/>
      <c r="G1358" s="310"/>
      <c r="H1358" s="333"/>
      <c r="I1358" s="125"/>
      <c r="J1358" s="323" t="e">
        <f t="shared" si="15"/>
        <v>#DIV/0!</v>
      </c>
      <c r="K1358" s="125"/>
      <c r="L1358" s="68">
        <f t="shared" si="16"/>
        <v>0</v>
      </c>
    </row>
    <row r="1359" spans="1:12" s="326" customFormat="1" ht="15" hidden="1">
      <c r="A1359" s="433"/>
      <c r="B1359" s="116" t="s">
        <v>277</v>
      </c>
      <c r="C1359" s="298"/>
      <c r="D1359" s="310"/>
      <c r="E1359" s="305" t="s">
        <v>75</v>
      </c>
      <c r="F1359" s="125">
        <v>3769833.79</v>
      </c>
      <c r="G1359" s="310"/>
      <c r="H1359" s="333"/>
      <c r="I1359" s="125"/>
      <c r="J1359" s="323">
        <f t="shared" si="15"/>
        <v>0</v>
      </c>
      <c r="K1359" s="125"/>
      <c r="L1359" s="68">
        <f t="shared" si="16"/>
        <v>3769833.79</v>
      </c>
    </row>
    <row r="1360" spans="1:12" s="326" customFormat="1" ht="15" hidden="1">
      <c r="A1360" s="434"/>
      <c r="B1360" s="116" t="s">
        <v>93</v>
      </c>
      <c r="C1360" s="298"/>
      <c r="D1360" s="310"/>
      <c r="E1360" s="305" t="s">
        <v>75</v>
      </c>
      <c r="F1360" s="125">
        <f>197651.87+100000</f>
        <v>297651.87</v>
      </c>
      <c r="G1360" s="310"/>
      <c r="H1360" s="333"/>
      <c r="I1360" s="125"/>
      <c r="J1360" s="323">
        <f t="shared" si="15"/>
        <v>0</v>
      </c>
      <c r="K1360" s="125"/>
      <c r="L1360" s="68">
        <f t="shared" si="16"/>
        <v>297651.87</v>
      </c>
    </row>
    <row r="1361" spans="1:12" s="326" customFormat="1" ht="45" hidden="1">
      <c r="A1361" s="432" t="s">
        <v>307</v>
      </c>
      <c r="B1361" s="116" t="s">
        <v>289</v>
      </c>
      <c r="C1361" s="298">
        <v>5</v>
      </c>
      <c r="D1361" s="310"/>
      <c r="E1361" s="333"/>
      <c r="F1361" s="125">
        <f>F1363+F1365+F1364+F1362</f>
        <v>1652678.8599999999</v>
      </c>
      <c r="G1361" s="310"/>
      <c r="H1361" s="333"/>
      <c r="I1361" s="125">
        <f>I1363+I1365+I1364+I1362</f>
        <v>0</v>
      </c>
      <c r="J1361" s="323">
        <f t="shared" si="15"/>
        <v>0</v>
      </c>
      <c r="K1361" s="125">
        <f>K1363+K1365+K1364+K1362</f>
        <v>0</v>
      </c>
      <c r="L1361" s="68">
        <f t="shared" si="16"/>
        <v>1652678.8599999999</v>
      </c>
    </row>
    <row r="1362" spans="1:12" s="326" customFormat="1" ht="15" hidden="1">
      <c r="A1362" s="433"/>
      <c r="B1362" s="254" t="s">
        <v>276</v>
      </c>
      <c r="C1362" s="298"/>
      <c r="D1362" s="310"/>
      <c r="E1362" s="323" t="s">
        <v>74</v>
      </c>
      <c r="F1362" s="125"/>
      <c r="G1362" s="310"/>
      <c r="H1362" s="333"/>
      <c r="I1362" s="125"/>
      <c r="J1362" s="323" t="e">
        <f t="shared" si="15"/>
        <v>#DIV/0!</v>
      </c>
      <c r="K1362" s="125"/>
      <c r="L1362" s="68">
        <f t="shared" si="16"/>
        <v>0</v>
      </c>
    </row>
    <row r="1363" spans="1:12" s="326" customFormat="1" ht="15" hidden="1">
      <c r="A1363" s="433"/>
      <c r="B1363" s="116" t="s">
        <v>277</v>
      </c>
      <c r="C1363" s="298"/>
      <c r="D1363" s="310"/>
      <c r="E1363" s="305" t="s">
        <v>75</v>
      </c>
      <c r="F1363" s="125">
        <v>665162.86</v>
      </c>
      <c r="G1363" s="310"/>
      <c r="H1363" s="333"/>
      <c r="I1363" s="125"/>
      <c r="J1363" s="323">
        <f t="shared" si="15"/>
        <v>0</v>
      </c>
      <c r="K1363" s="125"/>
      <c r="L1363" s="68">
        <f t="shared" si="16"/>
        <v>665162.86</v>
      </c>
    </row>
    <row r="1364" spans="1:12" s="326" customFormat="1" ht="15" hidden="1">
      <c r="A1364" s="433"/>
      <c r="B1364" s="226" t="s">
        <v>93</v>
      </c>
      <c r="C1364" s="298"/>
      <c r="D1364" s="310"/>
      <c r="E1364" s="305" t="s">
        <v>75</v>
      </c>
      <c r="F1364" s="125">
        <v>694216</v>
      </c>
      <c r="G1364" s="310"/>
      <c r="H1364" s="333"/>
      <c r="I1364" s="125"/>
      <c r="J1364" s="323">
        <f t="shared" si="15"/>
        <v>0</v>
      </c>
      <c r="K1364" s="125"/>
      <c r="L1364" s="68">
        <f t="shared" si="16"/>
        <v>694216</v>
      </c>
    </row>
    <row r="1365" spans="1:12" s="326" customFormat="1" ht="15" hidden="1">
      <c r="A1365" s="434"/>
      <c r="B1365" s="116" t="s">
        <v>94</v>
      </c>
      <c r="C1365" s="298"/>
      <c r="D1365" s="310"/>
      <c r="E1365" s="305" t="s">
        <v>75</v>
      </c>
      <c r="F1365" s="125">
        <v>293300</v>
      </c>
      <c r="G1365" s="310"/>
      <c r="H1365" s="333"/>
      <c r="I1365" s="125"/>
      <c r="J1365" s="323">
        <f t="shared" si="15"/>
        <v>0</v>
      </c>
      <c r="K1365" s="125"/>
      <c r="L1365" s="68">
        <f t="shared" si="16"/>
        <v>293300</v>
      </c>
    </row>
    <row r="1366" spans="1:12" s="326" customFormat="1" ht="45" hidden="1">
      <c r="A1366" s="432" t="s">
        <v>308</v>
      </c>
      <c r="B1366" s="117" t="s">
        <v>290</v>
      </c>
      <c r="C1366" s="298">
        <v>5</v>
      </c>
      <c r="D1366" s="310"/>
      <c r="E1366" s="333"/>
      <c r="F1366" s="125">
        <f>F1368+F1369+F1367</f>
        <v>1359896.41</v>
      </c>
      <c r="G1366" s="310"/>
      <c r="H1366" s="333"/>
      <c r="I1366" s="125">
        <f>I1368+I1369+I1367</f>
        <v>0</v>
      </c>
      <c r="J1366" s="323">
        <f t="shared" si="15"/>
        <v>0</v>
      </c>
      <c r="K1366" s="125">
        <f>K1368+K1369+K1367</f>
        <v>0</v>
      </c>
      <c r="L1366" s="68">
        <f t="shared" si="16"/>
        <v>1359896.41</v>
      </c>
    </row>
    <row r="1367" spans="1:12" s="326" customFormat="1" ht="15" hidden="1">
      <c r="A1367" s="433"/>
      <c r="B1367" s="254" t="s">
        <v>276</v>
      </c>
      <c r="C1367" s="320"/>
      <c r="D1367" s="310"/>
      <c r="E1367" s="323" t="s">
        <v>74</v>
      </c>
      <c r="F1367" s="125"/>
      <c r="G1367" s="310"/>
      <c r="H1367" s="333"/>
      <c r="I1367" s="125"/>
      <c r="J1367" s="323"/>
      <c r="K1367" s="125"/>
      <c r="L1367" s="68">
        <f t="shared" si="16"/>
        <v>0</v>
      </c>
    </row>
    <row r="1368" spans="1:12" s="326" customFormat="1" ht="15" hidden="1">
      <c r="A1368" s="433"/>
      <c r="B1368" s="116" t="s">
        <v>277</v>
      </c>
      <c r="C1368" s="320"/>
      <c r="D1368" s="310"/>
      <c r="E1368" s="305" t="s">
        <v>75</v>
      </c>
      <c r="F1368" s="125">
        <v>1184096.41</v>
      </c>
      <c r="G1368" s="310"/>
      <c r="H1368" s="333"/>
      <c r="I1368" s="125"/>
      <c r="J1368" s="323">
        <f>100*(I1368/F1368)</f>
        <v>0</v>
      </c>
      <c r="K1368" s="125"/>
      <c r="L1368" s="68">
        <f t="shared" si="16"/>
        <v>1184096.41</v>
      </c>
    </row>
    <row r="1369" spans="1:12" s="326" customFormat="1" ht="15" hidden="1">
      <c r="A1369" s="434"/>
      <c r="B1369" s="226" t="s">
        <v>93</v>
      </c>
      <c r="C1369" s="320"/>
      <c r="D1369" s="310"/>
      <c r="E1369" s="305" t="s">
        <v>75</v>
      </c>
      <c r="F1369" s="125">
        <v>175800</v>
      </c>
      <c r="G1369" s="310"/>
      <c r="H1369" s="333"/>
      <c r="I1369" s="125"/>
      <c r="J1369" s="333"/>
      <c r="K1369" s="125"/>
      <c r="L1369" s="68">
        <f t="shared" si="16"/>
        <v>175800</v>
      </c>
    </row>
    <row r="1370" spans="1:12" s="171" customFormat="1" ht="51" customHeight="1" hidden="1">
      <c r="A1370" s="174" t="s">
        <v>246</v>
      </c>
      <c r="B1370" s="70" t="s">
        <v>144</v>
      </c>
      <c r="C1370" s="332">
        <f>SUM(C1371:C1381)</f>
        <v>4.356</v>
      </c>
      <c r="D1370" s="305"/>
      <c r="E1370" s="305" t="s">
        <v>75</v>
      </c>
      <c r="F1370" s="257">
        <f>SUM(F1371,F1374,F1377,F1378,F1379,F1380,F1381)</f>
        <v>166342646</v>
      </c>
      <c r="G1370" s="122"/>
      <c r="H1370" s="257" t="e">
        <f>SUM(H1371,H1374,H1375,H1378,H1379,#REF!,#REF!,#REF!,#REF!,#REF!,#REF!,#REF!,#REF!,#REF!,#REF!,#REF!,#REF!)</f>
        <v>#REF!</v>
      </c>
      <c r="I1370" s="257">
        <f>SUM(I1371,I1374,I1377,I1378,I1379,I1380,I1381)</f>
        <v>590000</v>
      </c>
      <c r="J1370" s="333">
        <f aca="true" t="shared" si="17" ref="J1370:J1382">100*(I1370/F1370)</f>
        <v>0.35468956048709244</v>
      </c>
      <c r="K1370" s="257">
        <f>SUM(K1371,K1374,K1377,K1378,K1379,K1380,K1381)</f>
        <v>0</v>
      </c>
      <c r="L1370" s="69">
        <f t="shared" si="16"/>
        <v>166342646</v>
      </c>
    </row>
    <row r="1371" spans="1:12" s="170" customFormat="1" ht="45" hidden="1">
      <c r="A1371" s="406" t="s">
        <v>72</v>
      </c>
      <c r="B1371" s="116" t="s">
        <v>291</v>
      </c>
      <c r="C1371" s="427">
        <v>1</v>
      </c>
      <c r="D1371" s="403"/>
      <c r="E1371" s="403" t="s">
        <v>75</v>
      </c>
      <c r="F1371" s="125">
        <f>F1372+F1373</f>
        <v>28614646</v>
      </c>
      <c r="G1371" s="473"/>
      <c r="H1371" s="82"/>
      <c r="I1371" s="125">
        <f>I1372+I1373</f>
        <v>0</v>
      </c>
      <c r="J1371" s="323">
        <f t="shared" si="17"/>
        <v>0</v>
      </c>
      <c r="K1371" s="125">
        <f>K1372+K1373</f>
        <v>0</v>
      </c>
      <c r="L1371" s="68">
        <f t="shared" si="16"/>
        <v>28614646</v>
      </c>
    </row>
    <row r="1372" spans="1:12" s="170" customFormat="1" ht="15" hidden="1">
      <c r="A1372" s="407"/>
      <c r="B1372" s="116" t="s">
        <v>95</v>
      </c>
      <c r="C1372" s="428"/>
      <c r="D1372" s="404"/>
      <c r="E1372" s="404"/>
      <c r="F1372" s="125">
        <f>4314000+23514000</f>
        <v>27828000</v>
      </c>
      <c r="G1372" s="474"/>
      <c r="H1372" s="82"/>
      <c r="I1372" s="125"/>
      <c r="J1372" s="323">
        <f t="shared" si="17"/>
        <v>0</v>
      </c>
      <c r="K1372" s="125"/>
      <c r="L1372" s="68">
        <f t="shared" si="16"/>
        <v>27828000</v>
      </c>
    </row>
    <row r="1373" spans="1:12" s="170" customFormat="1" ht="15" hidden="1">
      <c r="A1373" s="408"/>
      <c r="B1373" s="116" t="s">
        <v>93</v>
      </c>
      <c r="C1373" s="429"/>
      <c r="D1373" s="405"/>
      <c r="E1373" s="405"/>
      <c r="F1373" s="125">
        <v>786646</v>
      </c>
      <c r="G1373" s="475"/>
      <c r="H1373" s="82"/>
      <c r="I1373" s="125"/>
      <c r="J1373" s="323">
        <f t="shared" si="17"/>
        <v>0</v>
      </c>
      <c r="K1373" s="125"/>
      <c r="L1373" s="68">
        <f t="shared" si="16"/>
        <v>786646</v>
      </c>
    </row>
    <row r="1374" spans="1:12" s="171" customFormat="1" ht="48.75" customHeight="1" hidden="1">
      <c r="A1374" s="406" t="s">
        <v>73</v>
      </c>
      <c r="B1374" s="117" t="s">
        <v>292</v>
      </c>
      <c r="C1374" s="409">
        <v>3.356</v>
      </c>
      <c r="D1374" s="410"/>
      <c r="E1374" s="403" t="s">
        <v>75</v>
      </c>
      <c r="F1374" s="125">
        <f>F1375+F1376</f>
        <v>116088000</v>
      </c>
      <c r="G1374" s="348"/>
      <c r="H1374" s="432"/>
      <c r="I1374" s="125">
        <f>I1375+I1376</f>
        <v>0</v>
      </c>
      <c r="J1374" s="323">
        <f t="shared" si="17"/>
        <v>0</v>
      </c>
      <c r="K1374" s="125">
        <f>K1375+K1376</f>
        <v>0</v>
      </c>
      <c r="L1374" s="68">
        <f t="shared" si="16"/>
        <v>116088000</v>
      </c>
    </row>
    <row r="1375" spans="1:12" s="171" customFormat="1" ht="17.25" customHeight="1" hidden="1">
      <c r="A1375" s="407"/>
      <c r="B1375" s="116" t="s">
        <v>95</v>
      </c>
      <c r="C1375" s="409"/>
      <c r="D1375" s="410"/>
      <c r="E1375" s="404"/>
      <c r="F1375" s="125">
        <f>114000000-3150000</f>
        <v>110850000</v>
      </c>
      <c r="G1375" s="473"/>
      <c r="H1375" s="433"/>
      <c r="I1375" s="125"/>
      <c r="J1375" s="323">
        <f t="shared" si="17"/>
        <v>0</v>
      </c>
      <c r="K1375" s="260"/>
      <c r="L1375" s="68">
        <f t="shared" si="16"/>
        <v>110850000</v>
      </c>
    </row>
    <row r="1376" spans="1:12" s="171" customFormat="1" ht="15" hidden="1">
      <c r="A1376" s="408"/>
      <c r="B1376" s="116" t="s">
        <v>93</v>
      </c>
      <c r="C1376" s="409"/>
      <c r="D1376" s="410"/>
      <c r="E1376" s="405"/>
      <c r="F1376" s="125">
        <f>2088000+3150000</f>
        <v>5238000</v>
      </c>
      <c r="G1376" s="474"/>
      <c r="H1376" s="433"/>
      <c r="I1376" s="125"/>
      <c r="J1376" s="323">
        <f t="shared" si="17"/>
        <v>0</v>
      </c>
      <c r="K1376" s="72"/>
      <c r="L1376" s="68">
        <f t="shared" si="16"/>
        <v>5238000</v>
      </c>
    </row>
    <row r="1377" spans="1:12" s="171" customFormat="1" ht="41.25" customHeight="1" hidden="1">
      <c r="A1377" s="172" t="s">
        <v>309</v>
      </c>
      <c r="B1377" s="117" t="s">
        <v>293</v>
      </c>
      <c r="C1377" s="261"/>
      <c r="D1377" s="262"/>
      <c r="E1377" s="305" t="s">
        <v>75</v>
      </c>
      <c r="F1377" s="125">
        <v>10000000</v>
      </c>
      <c r="G1377" s="475"/>
      <c r="H1377" s="434"/>
      <c r="I1377" s="72"/>
      <c r="J1377" s="323">
        <f t="shared" si="17"/>
        <v>0</v>
      </c>
      <c r="K1377" s="72"/>
      <c r="L1377" s="68">
        <f t="shared" si="16"/>
        <v>10000000</v>
      </c>
    </row>
    <row r="1378" spans="1:12" s="170" customFormat="1" ht="49.5" customHeight="1" hidden="1">
      <c r="A1378" s="172" t="s">
        <v>310</v>
      </c>
      <c r="B1378" s="226" t="s">
        <v>294</v>
      </c>
      <c r="C1378" s="327"/>
      <c r="D1378" s="316"/>
      <c r="E1378" s="305" t="s">
        <v>75</v>
      </c>
      <c r="F1378" s="125">
        <v>4500000</v>
      </c>
      <c r="G1378" s="319" t="s">
        <v>624</v>
      </c>
      <c r="H1378" s="299"/>
      <c r="I1378" s="260"/>
      <c r="J1378" s="323">
        <f t="shared" si="17"/>
        <v>0</v>
      </c>
      <c r="K1378" s="260"/>
      <c r="L1378" s="68">
        <f t="shared" si="16"/>
        <v>4500000</v>
      </c>
    </row>
    <row r="1379" spans="1:12" s="173" customFormat="1" ht="59.25" customHeight="1" hidden="1">
      <c r="A1379" s="172" t="s">
        <v>311</v>
      </c>
      <c r="B1379" s="117" t="s">
        <v>295</v>
      </c>
      <c r="C1379" s="263"/>
      <c r="D1379" s="97"/>
      <c r="E1379" s="305" t="s">
        <v>75</v>
      </c>
      <c r="F1379" s="125">
        <v>1500000</v>
      </c>
      <c r="G1379" s="348"/>
      <c r="H1379" s="452"/>
      <c r="I1379" s="260"/>
      <c r="J1379" s="323">
        <f t="shared" si="17"/>
        <v>0</v>
      </c>
      <c r="K1379" s="260"/>
      <c r="L1379" s="68">
        <f t="shared" si="16"/>
        <v>1500000</v>
      </c>
    </row>
    <row r="1380" spans="1:12" s="173" customFormat="1" ht="36.75" customHeight="1" hidden="1">
      <c r="A1380" s="172" t="s">
        <v>312</v>
      </c>
      <c r="B1380" s="226" t="s">
        <v>296</v>
      </c>
      <c r="C1380" s="263"/>
      <c r="D1380" s="97"/>
      <c r="E1380" s="305" t="s">
        <v>75</v>
      </c>
      <c r="F1380" s="125">
        <v>5000000</v>
      </c>
      <c r="G1380" s="348" t="s">
        <v>625</v>
      </c>
      <c r="H1380" s="453"/>
      <c r="I1380" s="108"/>
      <c r="J1380" s="323">
        <f t="shared" si="17"/>
        <v>0</v>
      </c>
      <c r="K1380" s="108"/>
      <c r="L1380" s="68">
        <f t="shared" si="16"/>
        <v>5000000</v>
      </c>
    </row>
    <row r="1381" spans="1:12" s="173" customFormat="1" ht="45" hidden="1">
      <c r="A1381" s="172" t="s">
        <v>313</v>
      </c>
      <c r="B1381" s="117" t="s">
        <v>297</v>
      </c>
      <c r="C1381" s="308"/>
      <c r="D1381" s="336"/>
      <c r="E1381" s="305" t="s">
        <v>75</v>
      </c>
      <c r="F1381" s="125">
        <v>640000</v>
      </c>
      <c r="G1381" s="348" t="s">
        <v>626</v>
      </c>
      <c r="H1381" s="453"/>
      <c r="I1381" s="108">
        <v>590000</v>
      </c>
      <c r="J1381" s="323">
        <f t="shared" si="17"/>
        <v>92.1875</v>
      </c>
      <c r="K1381" s="323"/>
      <c r="L1381" s="68">
        <f t="shared" si="16"/>
        <v>640000</v>
      </c>
    </row>
    <row r="1382" spans="1:12" s="200" customFormat="1" ht="35.25" customHeight="1" hidden="1">
      <c r="A1382" s="199"/>
      <c r="B1382" s="264" t="s">
        <v>130</v>
      </c>
      <c r="C1382" s="265">
        <f>C1354+C1370</f>
        <v>19.281</v>
      </c>
      <c r="D1382" s="266"/>
      <c r="E1382" s="267"/>
      <c r="F1382" s="268">
        <f>F1280+F1354+F1370</f>
        <v>703371557.93</v>
      </c>
      <c r="G1382" s="269"/>
      <c r="H1382" s="270" t="e">
        <f>H1281+H1282+H1370</f>
        <v>#REF!</v>
      </c>
      <c r="I1382" s="270">
        <f>I1281+I1282+I1370</f>
        <v>590000</v>
      </c>
      <c r="J1382" s="333">
        <f t="shared" si="17"/>
        <v>0.08388169714117402</v>
      </c>
      <c r="K1382" s="270">
        <f>K1281+K1282+K1370</f>
        <v>0</v>
      </c>
      <c r="L1382" s="69">
        <f t="shared" si="16"/>
        <v>703371557.93</v>
      </c>
    </row>
    <row r="1383" spans="1:12" s="173" customFormat="1" ht="15" hidden="1">
      <c r="A1383" s="467">
        <v>3</v>
      </c>
      <c r="B1383" s="470" t="s">
        <v>145</v>
      </c>
      <c r="C1383" s="464"/>
      <c r="D1383" s="378"/>
      <c r="E1383" s="81" t="s">
        <v>34</v>
      </c>
      <c r="F1383" s="164">
        <f>SUM(F1384:F1385)</f>
        <v>373876315.71000004</v>
      </c>
      <c r="G1383" s="562"/>
      <c r="H1383" s="339">
        <f>SUM(H1384:H1385)</f>
        <v>0</v>
      </c>
      <c r="I1383" s="339">
        <f>SUM(I1384:I1385)</f>
        <v>0</v>
      </c>
      <c r="J1383" s="502">
        <f>I1383/F1383*100</f>
        <v>0</v>
      </c>
      <c r="K1383" s="154">
        <f>SUM(K1384:K1385)</f>
        <v>0</v>
      </c>
      <c r="L1383" s="201">
        <f>SUM(L1384:L1385)</f>
        <v>326636598.95000005</v>
      </c>
    </row>
    <row r="1384" spans="1:12" s="173" customFormat="1" ht="15" hidden="1">
      <c r="A1384" s="468"/>
      <c r="B1384" s="471"/>
      <c r="C1384" s="465"/>
      <c r="D1384" s="379"/>
      <c r="E1384" s="333" t="s">
        <v>75</v>
      </c>
      <c r="F1384" s="165">
        <f>SUM(F1603,F1606,F1612)+SUM(F1387,F1390,F1393,F1396,F1399,F1402,F1405,F1408,F1411,F1414,F1417,F1420,F1423,F1426,F1429,F1432)+SUM(F1435,F1438,F1441,F1444,F1447,F1450,F1453,F1456,F1459,F1462,F1465,F1468,F1471,F1474,F1477,F1483,F1486)+SUM(F1489,F1492,F1495,F1498,F1501,F1504,F1507,F1510,F1513,F1516,F1519,F1522,F1525,F1528,F1531,F1534,F1537,F1540,F1543,F1546,F1549,F1552,F1555)+SUM(F1558,F1561,F1564,F1567,F1570,F1573,F1576,F1579,F1585,F1588,F1591,F1594,F1597,F1600,F1609,F1615)+SUM(F1618,F1621,F1624,F1627,F1630,F1633,F1636,F1639,F1642,F1645,F1648,F1651,F1654,F1657,F1660,F1663,F1666,F1669,F1672)+SUM(F1675,F1678,F1681,F1684,F1687,F1690,F1693,F1696,F1737)+F1480+F1582+SUM(F1699,F1702,F1705,F1708,F1711,F1714,F1717,F1720,F1723,F1726,F1729,F1732,F1735)</f>
        <v>350000000.00000006</v>
      </c>
      <c r="G1384" s="563"/>
      <c r="H1384" s="82"/>
      <c r="I1384" s="74">
        <f>SUM(I1603,I1606,I1612)+SUM(I1387,I1390,I1393,I1396,I1399,I1402,I1405,I1408,I1411,I1414,I1417,I1420,I1423,I1426,I1429,I1432)+SUM(I1435,I1438,I1441,I1444,I1447,I1450,I1453,I1456,I1459,I1462,I1465,I1468,I1471,I1474,I1477,I1483,I1486)+SUM(I1489,I1492,I1495,I1498,I1501,I1504,I1507,I1510,I1513,I1516,I1519,I1522,I1525,I1528,I1531,I1534,I1537,I1540,I1543,I1546,I1549,I1552,I1555)+SUM(I1558,I1561,I1564,I1567,I1570,I1573,I1576,I1579,I1585,I1588,I1591,I1594,I1597,I1600,I1609,I1615)+SUM(I1618,I1621,I1624,I1627,I1630,I1633,I1636,I1639,I1642,I1645,I1648,I1651,I1654,I1657,I1660,I1663,I1666,I1669,I1672)+SUM(I1675,I1678,I1681,I1684,I1687,I1690,I1693,I1696,I1737)</f>
        <v>0</v>
      </c>
      <c r="J1384" s="503"/>
      <c r="K1384" s="74">
        <f>SUM(K1603,K1606,K1612)+SUM(K1387,K1390,K1393,K1396,K1399,K1402,K1405,K1408,K1411,K1414,K1417,K1420,K1423,K1426,K1429,K1432)+SUM(K1435,K1438,K1441,K1444,K1447,K1450,K1453,K1456,K1459,K1462,K1465,K1468,K1471,K1474,K1477,K1483,K1486)+SUM(K1489,K1492,K1495,K1498,K1501,K1504,K1507,K1510,K1513,K1516,K1519,K1522,K1525,K1528,K1531,K1534,K1537,K1540,K1543,K1546,K1549,K1552,K1555)+SUM(K1558,K1561,K1564,K1567,K1570,K1573,K1576,K1579,K1585,K1588,K1591,K1594,K1597,K1600,K1609,K1615)+SUM(K1618,K1621,K1624,K1627,K1630,K1633,K1636,K1639,K1642,K1645,K1648,K1651,K1654,K1657,K1660,K1663,K1666,K1669,K1672)+SUM(K1675,K1678,K1681,K1684,K1687,K1690,K1693,K1696,K1737)+K1480+K1582</f>
        <v>0</v>
      </c>
      <c r="L1384" s="189">
        <f>SUM(L1603,L1606,L1612)+SUM(L1387,L1390,L1393,L1396,L1399,L1402,L1405,L1408,L1411,L1414,L1417,L1420,L1423,L1426,L1429,L1432)+SUM(L1435,L1438,L1441,L1444,L1447,L1450,L1453,L1456,L1459,L1462,L1465,L1468,L1471,L1474,L1477,L1483,L1486)+SUM(L1489,L1492,L1495,L1498,L1501,L1504,L1507,L1510,L1513,L1516,L1519,L1522,L1525,L1528,L1531,L1534,L1537,L1540,L1543,L1546,L1549,L1552,L1555)+SUM(L1558,L1561,L1564,L1567,L1570,L1573,L1576,L1579,L1585,L1588,L1591,L1594,L1597,L1600,L1609,L1615)+SUM(L1618,L1621,L1624,L1627,L1630,L1633,L1636,L1639,L1642,L1645,L1648,L1651,L1654,L1657,L1660,L1663,L1666,L1669,L1672)+SUM(L1675,L1678,L1681,L1684,L1687,L1690,L1693,L1696,L1737)+L1480+L1582</f>
        <v>306710105.58000004</v>
      </c>
    </row>
    <row r="1385" spans="1:12" s="173" customFormat="1" ht="15" hidden="1">
      <c r="A1385" s="469"/>
      <c r="B1385" s="472"/>
      <c r="C1385" s="466"/>
      <c r="D1385" s="380"/>
      <c r="E1385" s="333" t="s">
        <v>18</v>
      </c>
      <c r="F1385" s="165">
        <f>F1388+F1391+F1394+F1397+F1400+F1403+F1406+F1409+F1412+F1415+F1418+F1421+F1424+F1427+F1430+F1433+F1436+F1439+F1442+F1445+F1448+F1451+F1454+F1457+F1460+F1463+F1466+F1469+F1472+F1475+F1478+F1481+F1484+F1487+F1490+F1493+F1496+F1499+F1502+F1508+F1505+F1511+F1514+F1517+F1520+F1523+F1526+F1529+F1532+F1535+F1538+F1541+F1544+F1547+F1550+F1553+F1556+F1559+F1562+F1565+F1568+F1571+F1574+F1577+F1580+F1583+F1586+F1589+F1592+F1595+F1598+F1601+F1604+F1607+F1610+F1613+F1616+F1619+F1622+F1625+F1628+F1631+F1634+F1637+F1640+F1643+F1646+F1649+F1652+F1655+F1658+F1661+F1664+F1667+F1670+F1673+F1676+F1679+F1682+F1685+F1688+F1691+F1694+F1697+F1700+F1703+F1706+F1709+F1712+F1715+F1718+F1721+F1724+F1727+F1730+F1733+F1736</f>
        <v>23876315.71000001</v>
      </c>
      <c r="G1385" s="564"/>
      <c r="H1385" s="82"/>
      <c r="I1385" s="74">
        <f>SUM(I1604,I1607,I1613)+SUM(I1388,I1391,I1394,I1397,I1400,I1403,I1406,I1409,I1412,I1415,I1418,I1421,I1424,I1427,I1430,I1433)+SUM(I1436,I1439,I1442,I1445,I1448,I1451,I1454,I1457,I1460,I1463,I1466,I1469,I1472,I1475,I1478,I1484,I1487)+SUM(I1490,I1493,I1496,I1499,I1502,I1505,I1508,I1511,I1514,I1517,I1520,I1523,I1526,I1529,I1532,I1535,I1538,I1541,I1544,I1547,I1550,I1553,I1556)+SUM(I1559,I1562,I1565,I1568,I1571,I1574,I1577,I1580,I1586,I1589,I1592,I1595,I1598,I1601,I1610,I1616)+SUM(I1619,I1622,I1625,I1628,I1631,I1634,I1637,I1640,I1643,I1646,I1649,I1652,I1655,I1658,I1661,I1664,I1667,I1670,I1673)+SUM(I1676,I1679,I1682,I1685,I1688,I1691,I1694,I1697,I1738)</f>
        <v>0</v>
      </c>
      <c r="J1385" s="504"/>
      <c r="K1385" s="74"/>
      <c r="L1385" s="189">
        <f>SUM(L1604,L1607,L1613)+SUM(L1388,L1391,L1394,L1397,L1400,L1403,L1406,L1409,L1412,L1415,L1418,L1421,L1424,L1427,L1430,L1433)+SUM(L1436,L1439,L1442,L1445,L1448,L1451,L1454,L1457,L1460,L1463,L1466,L1469,L1472,L1475,L1478,L1484,L1487)+SUM(L1490,L1493,L1496,L1499,L1502,L1505,L1508,L1511,L1514,L1517,L1520,L1523,L1526,L1529,L1532,L1535,L1538,L1541,L1544,L1547,L1550,L1553,L1556)+SUM(L1559,L1562,L1565,L1568,L1571,L1574,L1577,L1580,L1586,L1589,L1592,L1595,L1598,L1601,L1610,L1616)+SUM(L1619,L1622,L1625,L1628,L1631,L1634,L1637,L1640,L1643,L1646,L1649,L1652,L1655,L1658,L1661,L1664,L1667,L1670,L1673)+SUM(L1676,L1679,L1682,L1685,L1688,L1691,L1694,L1697,L1738)</f>
        <v>19926493.37</v>
      </c>
    </row>
    <row r="1386" spans="1:12" s="173" customFormat="1" ht="15.75" customHeight="1" hidden="1">
      <c r="A1386" s="541">
        <v>1</v>
      </c>
      <c r="B1386" s="449" t="s">
        <v>446</v>
      </c>
      <c r="C1386" s="432"/>
      <c r="D1386" s="432"/>
      <c r="E1386" s="81" t="s">
        <v>34</v>
      </c>
      <c r="F1386" s="165">
        <f aca="true" t="shared" si="18" ref="F1386:K1386">SUM(F1387:F1388)</f>
        <v>3685026.72</v>
      </c>
      <c r="G1386" s="544"/>
      <c r="H1386" s="82">
        <f t="shared" si="18"/>
        <v>0</v>
      </c>
      <c r="I1386" s="333">
        <f>SUM(I1387:I1388)</f>
        <v>0</v>
      </c>
      <c r="J1386" s="502">
        <f>I1386/F1386*100</f>
        <v>0</v>
      </c>
      <c r="K1386" s="333">
        <f t="shared" si="18"/>
        <v>0</v>
      </c>
      <c r="L1386" s="69">
        <f aca="true" t="shared" si="19" ref="L1386:L1449">F1386-K1386</f>
        <v>3685026.72</v>
      </c>
    </row>
    <row r="1387" spans="1:12" s="173" customFormat="1" ht="15" hidden="1">
      <c r="A1387" s="542"/>
      <c r="B1387" s="450"/>
      <c r="C1387" s="433"/>
      <c r="D1387" s="433"/>
      <c r="E1387" s="323" t="s">
        <v>75</v>
      </c>
      <c r="F1387" s="237">
        <v>3500000</v>
      </c>
      <c r="G1387" s="545"/>
      <c r="H1387" s="326"/>
      <c r="I1387" s="247"/>
      <c r="J1387" s="503"/>
      <c r="K1387" s="271"/>
      <c r="L1387" s="69">
        <f t="shared" si="19"/>
        <v>3500000</v>
      </c>
    </row>
    <row r="1388" spans="1:12" s="173" customFormat="1" ht="15" hidden="1">
      <c r="A1388" s="543"/>
      <c r="B1388" s="451"/>
      <c r="C1388" s="434"/>
      <c r="D1388" s="434"/>
      <c r="E1388" s="323" t="s">
        <v>18</v>
      </c>
      <c r="F1388" s="237">
        <v>185026.7200000002</v>
      </c>
      <c r="G1388" s="546"/>
      <c r="H1388" s="326"/>
      <c r="I1388" s="247"/>
      <c r="J1388" s="504"/>
      <c r="K1388" s="271"/>
      <c r="L1388" s="69">
        <f t="shared" si="19"/>
        <v>185026.7200000002</v>
      </c>
    </row>
    <row r="1389" spans="1:12" s="173" customFormat="1" ht="15" hidden="1">
      <c r="A1389" s="541">
        <v>2</v>
      </c>
      <c r="B1389" s="449" t="s">
        <v>447</v>
      </c>
      <c r="C1389" s="432"/>
      <c r="D1389" s="432"/>
      <c r="E1389" s="81" t="s">
        <v>34</v>
      </c>
      <c r="F1389" s="165">
        <f aca="true" t="shared" si="20" ref="F1389:K1389">SUM(F1390:F1391)</f>
        <v>2109978.06</v>
      </c>
      <c r="G1389" s="544"/>
      <c r="H1389" s="82">
        <f t="shared" si="20"/>
        <v>0</v>
      </c>
      <c r="I1389" s="333">
        <f>SUM(I1390:I1391)</f>
        <v>0</v>
      </c>
      <c r="J1389" s="502">
        <f>I1389/F1389*100</f>
        <v>0</v>
      </c>
      <c r="K1389" s="333">
        <f t="shared" si="20"/>
        <v>0</v>
      </c>
      <c r="L1389" s="69">
        <f t="shared" si="19"/>
        <v>2109978.06</v>
      </c>
    </row>
    <row r="1390" spans="1:12" s="173" customFormat="1" ht="15" hidden="1">
      <c r="A1390" s="542"/>
      <c r="B1390" s="450"/>
      <c r="C1390" s="433"/>
      <c r="D1390" s="433"/>
      <c r="E1390" s="323" t="s">
        <v>75</v>
      </c>
      <c r="F1390" s="231">
        <v>1999978.06</v>
      </c>
      <c r="G1390" s="545"/>
      <c r="H1390" s="326"/>
      <c r="I1390" s="233"/>
      <c r="J1390" s="503"/>
      <c r="K1390" s="271"/>
      <c r="L1390" s="69">
        <f t="shared" si="19"/>
        <v>1999978.06</v>
      </c>
    </row>
    <row r="1391" spans="1:12" s="173" customFormat="1" ht="15" hidden="1">
      <c r="A1391" s="543"/>
      <c r="B1391" s="451"/>
      <c r="C1391" s="434"/>
      <c r="D1391" s="434"/>
      <c r="E1391" s="323" t="s">
        <v>18</v>
      </c>
      <c r="F1391" s="231">
        <v>110000</v>
      </c>
      <c r="G1391" s="545"/>
      <c r="H1391" s="326"/>
      <c r="I1391" s="233"/>
      <c r="J1391" s="504"/>
      <c r="K1391" s="271"/>
      <c r="L1391" s="69">
        <f t="shared" si="19"/>
        <v>110000</v>
      </c>
    </row>
    <row r="1392" spans="1:12" s="173" customFormat="1" ht="15" hidden="1">
      <c r="A1392" s="541">
        <v>3</v>
      </c>
      <c r="B1392" s="449" t="s">
        <v>448</v>
      </c>
      <c r="C1392" s="464"/>
      <c r="D1392" s="378"/>
      <c r="E1392" s="81" t="s">
        <v>34</v>
      </c>
      <c r="F1392" s="272">
        <f aca="true" t="shared" si="21" ref="F1392:K1392">SUM(F1393:F1394)</f>
        <v>4737033.3</v>
      </c>
      <c r="G1392" s="545"/>
      <c r="H1392" s="273">
        <f t="shared" si="21"/>
        <v>0</v>
      </c>
      <c r="I1392" s="273">
        <f>SUM(I1393:I1394)</f>
        <v>0</v>
      </c>
      <c r="J1392" s="502">
        <f>I1392/F1392*100</f>
        <v>0</v>
      </c>
      <c r="K1392" s="273">
        <f t="shared" si="21"/>
        <v>0</v>
      </c>
      <c r="L1392" s="69">
        <f t="shared" si="19"/>
        <v>4737033.3</v>
      </c>
    </row>
    <row r="1393" spans="1:12" s="173" customFormat="1" ht="15" hidden="1">
      <c r="A1393" s="542"/>
      <c r="B1393" s="450"/>
      <c r="C1393" s="465"/>
      <c r="D1393" s="379"/>
      <c r="E1393" s="323" t="s">
        <v>75</v>
      </c>
      <c r="F1393" s="231">
        <v>4500000</v>
      </c>
      <c r="G1393" s="545"/>
      <c r="H1393" s="259"/>
      <c r="I1393" s="233"/>
      <c r="J1393" s="503"/>
      <c r="K1393" s="271"/>
      <c r="L1393" s="69">
        <f t="shared" si="19"/>
        <v>4500000</v>
      </c>
    </row>
    <row r="1394" spans="1:12" s="173" customFormat="1" ht="15" hidden="1">
      <c r="A1394" s="543"/>
      <c r="B1394" s="451"/>
      <c r="C1394" s="466"/>
      <c r="D1394" s="380"/>
      <c r="E1394" s="323" t="s">
        <v>18</v>
      </c>
      <c r="F1394" s="231">
        <v>237033.2999999998</v>
      </c>
      <c r="G1394" s="546"/>
      <c r="H1394" s="259"/>
      <c r="I1394" s="233"/>
      <c r="J1394" s="504"/>
      <c r="K1394" s="271"/>
      <c r="L1394" s="69">
        <f t="shared" si="19"/>
        <v>237033.2999999998</v>
      </c>
    </row>
    <row r="1395" spans="1:12" s="173" customFormat="1" ht="12.75" customHeight="1" hidden="1">
      <c r="A1395" s="541">
        <v>4</v>
      </c>
      <c r="B1395" s="449" t="s">
        <v>449</v>
      </c>
      <c r="C1395" s="464"/>
      <c r="D1395" s="378"/>
      <c r="E1395" s="81" t="s">
        <v>34</v>
      </c>
      <c r="F1395" s="165">
        <f aca="true" t="shared" si="22" ref="F1395:K1395">SUM(F1396:F1397)</f>
        <v>3034584.76</v>
      </c>
      <c r="G1395" s="544"/>
      <c r="H1395" s="82">
        <f t="shared" si="22"/>
        <v>0</v>
      </c>
      <c r="I1395" s="333">
        <f>SUM(I1396:I1397)</f>
        <v>0</v>
      </c>
      <c r="J1395" s="502">
        <f>I1395/F1395*100</f>
        <v>0</v>
      </c>
      <c r="K1395" s="333">
        <f t="shared" si="22"/>
        <v>0</v>
      </c>
      <c r="L1395" s="69">
        <f t="shared" si="19"/>
        <v>3034584.76</v>
      </c>
    </row>
    <row r="1396" spans="1:12" s="173" customFormat="1" ht="18" customHeight="1" hidden="1">
      <c r="A1396" s="542"/>
      <c r="B1396" s="450"/>
      <c r="C1396" s="465"/>
      <c r="D1396" s="379"/>
      <c r="E1396" s="323" t="s">
        <v>75</v>
      </c>
      <c r="F1396" s="231">
        <v>2882855.52</v>
      </c>
      <c r="G1396" s="545"/>
      <c r="H1396" s="259"/>
      <c r="I1396" s="233"/>
      <c r="J1396" s="503"/>
      <c r="K1396" s="271"/>
      <c r="L1396" s="69">
        <f t="shared" si="19"/>
        <v>2882855.52</v>
      </c>
    </row>
    <row r="1397" spans="1:12" s="173" customFormat="1" ht="15" customHeight="1" hidden="1">
      <c r="A1397" s="543"/>
      <c r="B1397" s="451"/>
      <c r="C1397" s="466"/>
      <c r="D1397" s="380"/>
      <c r="E1397" s="323" t="s">
        <v>18</v>
      </c>
      <c r="F1397" s="231">
        <v>151729.23999999976</v>
      </c>
      <c r="G1397" s="546"/>
      <c r="H1397" s="259"/>
      <c r="I1397" s="233"/>
      <c r="J1397" s="504"/>
      <c r="K1397" s="271"/>
      <c r="L1397" s="69">
        <f t="shared" si="19"/>
        <v>151729.23999999976</v>
      </c>
    </row>
    <row r="1398" spans="1:12" s="173" customFormat="1" ht="15" customHeight="1" hidden="1">
      <c r="A1398" s="541">
        <v>5</v>
      </c>
      <c r="B1398" s="449" t="s">
        <v>450</v>
      </c>
      <c r="C1398" s="464"/>
      <c r="D1398" s="378"/>
      <c r="E1398" s="81" t="s">
        <v>34</v>
      </c>
      <c r="F1398" s="272">
        <f aca="true" t="shared" si="23" ref="F1398:K1398">SUM(F1399:F1400)</f>
        <v>11668074.82</v>
      </c>
      <c r="G1398" s="544"/>
      <c r="H1398" s="273">
        <f t="shared" si="23"/>
        <v>0</v>
      </c>
      <c r="I1398" s="273">
        <f>SUM(I1399:I1400)</f>
        <v>0</v>
      </c>
      <c r="J1398" s="502">
        <f>I1398/F1398*100</f>
        <v>0</v>
      </c>
      <c r="K1398" s="273">
        <f t="shared" si="23"/>
        <v>0</v>
      </c>
      <c r="L1398" s="69">
        <f t="shared" si="19"/>
        <v>11668074.82</v>
      </c>
    </row>
    <row r="1399" spans="1:12" s="173" customFormat="1" ht="18" customHeight="1" hidden="1">
      <c r="A1399" s="542"/>
      <c r="B1399" s="450"/>
      <c r="C1399" s="465"/>
      <c r="D1399" s="379"/>
      <c r="E1399" s="323" t="s">
        <v>75</v>
      </c>
      <c r="F1399" s="231">
        <v>11084671.07</v>
      </c>
      <c r="G1399" s="545"/>
      <c r="H1399" s="259"/>
      <c r="I1399" s="233"/>
      <c r="J1399" s="503"/>
      <c r="K1399" s="271"/>
      <c r="L1399" s="69">
        <f t="shared" si="19"/>
        <v>11084671.07</v>
      </c>
    </row>
    <row r="1400" spans="1:12" s="171" customFormat="1" ht="15" customHeight="1" hidden="1">
      <c r="A1400" s="543"/>
      <c r="B1400" s="451"/>
      <c r="C1400" s="466"/>
      <c r="D1400" s="380"/>
      <c r="E1400" s="323" t="s">
        <v>18</v>
      </c>
      <c r="F1400" s="231">
        <v>583403.75</v>
      </c>
      <c r="G1400" s="546"/>
      <c r="H1400" s="259"/>
      <c r="I1400" s="233"/>
      <c r="J1400" s="504"/>
      <c r="K1400" s="271"/>
      <c r="L1400" s="69">
        <f t="shared" si="19"/>
        <v>583403.75</v>
      </c>
    </row>
    <row r="1401" spans="1:12" s="171" customFormat="1" ht="16.5" customHeight="1" hidden="1">
      <c r="A1401" s="541">
        <v>6</v>
      </c>
      <c r="B1401" s="449" t="s">
        <v>451</v>
      </c>
      <c r="C1401" s="464"/>
      <c r="D1401" s="378"/>
      <c r="E1401" s="81" t="s">
        <v>34</v>
      </c>
      <c r="F1401" s="164">
        <f aca="true" t="shared" si="24" ref="F1401:K1401">SUM(F1402:F1403)</f>
        <v>3000000</v>
      </c>
      <c r="G1401" s="544"/>
      <c r="H1401" s="274">
        <f t="shared" si="24"/>
        <v>0</v>
      </c>
      <c r="I1401" s="274">
        <f>SUM(I1402:I1403)</f>
        <v>0</v>
      </c>
      <c r="J1401" s="502">
        <f>I1401/F1401*100</f>
        <v>0</v>
      </c>
      <c r="K1401" s="274">
        <f t="shared" si="24"/>
        <v>0</v>
      </c>
      <c r="L1401" s="69">
        <f t="shared" si="19"/>
        <v>3000000</v>
      </c>
    </row>
    <row r="1402" spans="1:12" s="171" customFormat="1" ht="15" customHeight="1" hidden="1">
      <c r="A1402" s="542"/>
      <c r="B1402" s="450"/>
      <c r="C1402" s="465"/>
      <c r="D1402" s="379"/>
      <c r="E1402" s="323" t="s">
        <v>75</v>
      </c>
      <c r="F1402" s="231">
        <v>2850000</v>
      </c>
      <c r="G1402" s="545"/>
      <c r="H1402" s="259"/>
      <c r="I1402" s="233"/>
      <c r="J1402" s="503"/>
      <c r="K1402" s="271"/>
      <c r="L1402" s="69">
        <f t="shared" si="19"/>
        <v>2850000</v>
      </c>
    </row>
    <row r="1403" spans="1:12" s="171" customFormat="1" ht="15.75" customHeight="1" hidden="1">
      <c r="A1403" s="543"/>
      <c r="B1403" s="451"/>
      <c r="C1403" s="466"/>
      <c r="D1403" s="380"/>
      <c r="E1403" s="323" t="s">
        <v>18</v>
      </c>
      <c r="F1403" s="231">
        <v>150000</v>
      </c>
      <c r="G1403" s="546"/>
      <c r="H1403" s="259"/>
      <c r="I1403" s="233"/>
      <c r="J1403" s="504"/>
      <c r="K1403" s="271"/>
      <c r="L1403" s="69">
        <f t="shared" si="19"/>
        <v>150000</v>
      </c>
    </row>
    <row r="1404" spans="1:12" s="171" customFormat="1" ht="15" customHeight="1" hidden="1">
      <c r="A1404" s="541">
        <v>7</v>
      </c>
      <c r="B1404" s="449" t="s">
        <v>452</v>
      </c>
      <c r="C1404" s="432"/>
      <c r="D1404" s="432"/>
      <c r="E1404" s="81" t="s">
        <v>34</v>
      </c>
      <c r="F1404" s="164">
        <f aca="true" t="shared" si="25" ref="F1404:K1404">SUM(F1405:F1406)</f>
        <v>2106017.98</v>
      </c>
      <c r="G1404" s="544"/>
      <c r="H1404" s="274">
        <f t="shared" si="25"/>
        <v>0</v>
      </c>
      <c r="I1404" s="274">
        <f>SUM(I1405:I1406)</f>
        <v>0</v>
      </c>
      <c r="J1404" s="502">
        <f>I1404/F1404*100</f>
        <v>0</v>
      </c>
      <c r="K1404" s="274">
        <f t="shared" si="25"/>
        <v>0</v>
      </c>
      <c r="L1404" s="69">
        <f t="shared" si="19"/>
        <v>2106017.98</v>
      </c>
    </row>
    <row r="1405" spans="1:12" s="171" customFormat="1" ht="13.5" customHeight="1" hidden="1">
      <c r="A1405" s="542"/>
      <c r="B1405" s="450"/>
      <c r="C1405" s="433"/>
      <c r="D1405" s="433"/>
      <c r="E1405" s="323" t="s">
        <v>75</v>
      </c>
      <c r="F1405" s="231">
        <v>2000000</v>
      </c>
      <c r="G1405" s="545"/>
      <c r="H1405" s="326"/>
      <c r="I1405" s="233"/>
      <c r="J1405" s="503"/>
      <c r="K1405" s="72"/>
      <c r="L1405" s="69">
        <f t="shared" si="19"/>
        <v>2000000</v>
      </c>
    </row>
    <row r="1406" spans="1:12" s="171" customFormat="1" ht="15.75" customHeight="1" hidden="1">
      <c r="A1406" s="543"/>
      <c r="B1406" s="451"/>
      <c r="C1406" s="434"/>
      <c r="D1406" s="434"/>
      <c r="E1406" s="323" t="s">
        <v>18</v>
      </c>
      <c r="F1406" s="231">
        <v>106017.97999999998</v>
      </c>
      <c r="G1406" s="546"/>
      <c r="H1406" s="326"/>
      <c r="I1406" s="233"/>
      <c r="J1406" s="504"/>
      <c r="K1406" s="72"/>
      <c r="L1406" s="69">
        <f t="shared" si="19"/>
        <v>106017.97999999998</v>
      </c>
    </row>
    <row r="1407" spans="1:12" s="171" customFormat="1" ht="15" hidden="1">
      <c r="A1407" s="541">
        <v>8</v>
      </c>
      <c r="B1407" s="449" t="s">
        <v>453</v>
      </c>
      <c r="C1407" s="432"/>
      <c r="D1407" s="432"/>
      <c r="E1407" s="81" t="s">
        <v>34</v>
      </c>
      <c r="F1407" s="165">
        <f aca="true" t="shared" si="26" ref="F1407:K1407">SUM(F1408:F1409)</f>
        <v>8421510.14</v>
      </c>
      <c r="G1407" s="544"/>
      <c r="H1407" s="82">
        <f t="shared" si="26"/>
        <v>0</v>
      </c>
      <c r="I1407" s="333">
        <f>SUM(I1408:I1409)</f>
        <v>0</v>
      </c>
      <c r="J1407" s="502">
        <f>I1407/F1407*100</f>
        <v>0</v>
      </c>
      <c r="K1407" s="333">
        <f t="shared" si="26"/>
        <v>0</v>
      </c>
      <c r="L1407" s="69">
        <f t="shared" si="19"/>
        <v>8421510.14</v>
      </c>
    </row>
    <row r="1408" spans="1:12" s="171" customFormat="1" ht="15" hidden="1">
      <c r="A1408" s="542"/>
      <c r="B1408" s="450"/>
      <c r="C1408" s="433"/>
      <c r="D1408" s="433"/>
      <c r="E1408" s="323" t="s">
        <v>75</v>
      </c>
      <c r="F1408" s="237">
        <v>8000000</v>
      </c>
      <c r="G1408" s="545"/>
      <c r="H1408" s="326"/>
      <c r="I1408" s="72"/>
      <c r="J1408" s="503"/>
      <c r="K1408" s="72"/>
      <c r="L1408" s="69">
        <f t="shared" si="19"/>
        <v>8000000</v>
      </c>
    </row>
    <row r="1409" spans="1:12" s="171" customFormat="1" ht="21.75" customHeight="1" hidden="1">
      <c r="A1409" s="543"/>
      <c r="B1409" s="451"/>
      <c r="C1409" s="434"/>
      <c r="D1409" s="434"/>
      <c r="E1409" s="323" t="s">
        <v>18</v>
      </c>
      <c r="F1409" s="237">
        <v>421510.1400000006</v>
      </c>
      <c r="G1409" s="546"/>
      <c r="H1409" s="326"/>
      <c r="I1409" s="72"/>
      <c r="J1409" s="504"/>
      <c r="K1409" s="72"/>
      <c r="L1409" s="69">
        <f t="shared" si="19"/>
        <v>421510.1400000006</v>
      </c>
    </row>
    <row r="1410" spans="1:12" s="171" customFormat="1" ht="15" hidden="1">
      <c r="A1410" s="541">
        <v>9</v>
      </c>
      <c r="B1410" s="449" t="s">
        <v>454</v>
      </c>
      <c r="C1410" s="432"/>
      <c r="D1410" s="432"/>
      <c r="E1410" s="81" t="s">
        <v>34</v>
      </c>
      <c r="F1410" s="165">
        <f aca="true" t="shared" si="27" ref="F1410:K1410">SUM(F1411:F1412)</f>
        <v>2103450.3</v>
      </c>
      <c r="G1410" s="544"/>
      <c r="H1410" s="82">
        <f t="shared" si="27"/>
        <v>0</v>
      </c>
      <c r="I1410" s="333">
        <f>SUM(I1411:I1412)</f>
        <v>0</v>
      </c>
      <c r="J1410" s="502">
        <f>I1410/F1410*100</f>
        <v>0</v>
      </c>
      <c r="K1410" s="333">
        <f t="shared" si="27"/>
        <v>0</v>
      </c>
      <c r="L1410" s="69">
        <f t="shared" si="19"/>
        <v>2103450.3</v>
      </c>
    </row>
    <row r="1411" spans="1:12" s="171" customFormat="1" ht="15" hidden="1">
      <c r="A1411" s="542"/>
      <c r="B1411" s="450"/>
      <c r="C1411" s="433"/>
      <c r="D1411" s="433"/>
      <c r="E1411" s="323" t="s">
        <v>75</v>
      </c>
      <c r="F1411" s="231">
        <v>1998277.78</v>
      </c>
      <c r="G1411" s="545"/>
      <c r="H1411" s="326"/>
      <c r="I1411" s="233"/>
      <c r="J1411" s="503"/>
      <c r="K1411" s="72"/>
      <c r="L1411" s="69">
        <f t="shared" si="19"/>
        <v>1998277.78</v>
      </c>
    </row>
    <row r="1412" spans="1:12" s="171" customFormat="1" ht="15" hidden="1">
      <c r="A1412" s="543"/>
      <c r="B1412" s="451"/>
      <c r="C1412" s="434"/>
      <c r="D1412" s="434"/>
      <c r="E1412" s="323" t="s">
        <v>18</v>
      </c>
      <c r="F1412" s="231">
        <v>105172.51999999979</v>
      </c>
      <c r="G1412" s="546"/>
      <c r="H1412" s="326"/>
      <c r="I1412" s="233"/>
      <c r="J1412" s="504"/>
      <c r="K1412" s="72"/>
      <c r="L1412" s="69">
        <f t="shared" si="19"/>
        <v>105172.51999999979</v>
      </c>
    </row>
    <row r="1413" spans="1:12" s="171" customFormat="1" ht="15" hidden="1">
      <c r="A1413" s="541">
        <v>10</v>
      </c>
      <c r="B1413" s="449" t="s">
        <v>455</v>
      </c>
      <c r="C1413" s="432"/>
      <c r="D1413" s="432"/>
      <c r="E1413" s="81" t="s">
        <v>34</v>
      </c>
      <c r="F1413" s="272">
        <f aca="true" t="shared" si="28" ref="F1413:K1413">SUM(F1414:F1415)</f>
        <v>2106000</v>
      </c>
      <c r="G1413" s="559"/>
      <c r="H1413" s="273">
        <f t="shared" si="28"/>
        <v>0</v>
      </c>
      <c r="I1413" s="273">
        <f>SUM(I1414:I1415)</f>
        <v>0</v>
      </c>
      <c r="J1413" s="502">
        <f>I1413/F1413*100</f>
        <v>0</v>
      </c>
      <c r="K1413" s="273">
        <f t="shared" si="28"/>
        <v>0</v>
      </c>
      <c r="L1413" s="69">
        <f t="shared" si="19"/>
        <v>2106000</v>
      </c>
    </row>
    <row r="1414" spans="1:12" s="171" customFormat="1" ht="15" hidden="1">
      <c r="A1414" s="542"/>
      <c r="B1414" s="450"/>
      <c r="C1414" s="433"/>
      <c r="D1414" s="433"/>
      <c r="E1414" s="323" t="s">
        <v>75</v>
      </c>
      <c r="F1414" s="231">
        <v>2000700</v>
      </c>
      <c r="G1414" s="560"/>
      <c r="H1414" s="326"/>
      <c r="I1414" s="233"/>
      <c r="J1414" s="503"/>
      <c r="K1414" s="72"/>
      <c r="L1414" s="69">
        <f t="shared" si="19"/>
        <v>2000700</v>
      </c>
    </row>
    <row r="1415" spans="1:12" s="171" customFormat="1" ht="15" hidden="1">
      <c r="A1415" s="543"/>
      <c r="B1415" s="451"/>
      <c r="C1415" s="434"/>
      <c r="D1415" s="434"/>
      <c r="E1415" s="323" t="s">
        <v>18</v>
      </c>
      <c r="F1415" s="231">
        <v>105300</v>
      </c>
      <c r="G1415" s="561"/>
      <c r="H1415" s="326"/>
      <c r="I1415" s="233"/>
      <c r="J1415" s="504"/>
      <c r="K1415" s="72"/>
      <c r="L1415" s="69">
        <f t="shared" si="19"/>
        <v>105300</v>
      </c>
    </row>
    <row r="1416" spans="1:12" s="171" customFormat="1" ht="15" hidden="1">
      <c r="A1416" s="541">
        <v>11</v>
      </c>
      <c r="B1416" s="449" t="s">
        <v>456</v>
      </c>
      <c r="C1416" s="432"/>
      <c r="D1416" s="432"/>
      <c r="E1416" s="81" t="s">
        <v>34</v>
      </c>
      <c r="F1416" s="165">
        <f aca="true" t="shared" si="29" ref="F1416:K1416">SUM(F1417:F1418)</f>
        <v>3158316.02</v>
      </c>
      <c r="G1416" s="544"/>
      <c r="H1416" s="82">
        <f t="shared" si="29"/>
        <v>0</v>
      </c>
      <c r="I1416" s="333">
        <f>SUM(I1417:I1418)</f>
        <v>0</v>
      </c>
      <c r="J1416" s="502">
        <f>I1416/F1416*100</f>
        <v>0</v>
      </c>
      <c r="K1416" s="333">
        <f t="shared" si="29"/>
        <v>0</v>
      </c>
      <c r="L1416" s="69">
        <f t="shared" si="19"/>
        <v>3158316.02</v>
      </c>
    </row>
    <row r="1417" spans="1:12" s="171" customFormat="1" ht="15" hidden="1">
      <c r="A1417" s="542"/>
      <c r="B1417" s="450"/>
      <c r="C1417" s="433"/>
      <c r="D1417" s="433"/>
      <c r="E1417" s="323" t="s">
        <v>75</v>
      </c>
      <c r="F1417" s="231">
        <v>3000000</v>
      </c>
      <c r="G1417" s="545"/>
      <c r="H1417" s="326"/>
      <c r="I1417" s="233"/>
      <c r="J1417" s="503"/>
      <c r="K1417" s="247"/>
      <c r="L1417" s="69">
        <f t="shared" si="19"/>
        <v>3000000</v>
      </c>
    </row>
    <row r="1418" spans="1:12" s="171" customFormat="1" ht="15" hidden="1">
      <c r="A1418" s="543"/>
      <c r="B1418" s="451"/>
      <c r="C1418" s="434"/>
      <c r="D1418" s="434"/>
      <c r="E1418" s="323" t="s">
        <v>18</v>
      </c>
      <c r="F1418" s="231">
        <v>158316.02000000002</v>
      </c>
      <c r="G1418" s="546"/>
      <c r="H1418" s="326"/>
      <c r="I1418" s="233"/>
      <c r="J1418" s="504"/>
      <c r="K1418" s="247"/>
      <c r="L1418" s="69">
        <f t="shared" si="19"/>
        <v>158316.02000000002</v>
      </c>
    </row>
    <row r="1419" spans="1:12" s="171" customFormat="1" ht="15" hidden="1">
      <c r="A1419" s="541">
        <v>12</v>
      </c>
      <c r="B1419" s="449" t="s">
        <v>457</v>
      </c>
      <c r="C1419" s="432"/>
      <c r="D1419" s="432"/>
      <c r="E1419" s="81" t="s">
        <v>34</v>
      </c>
      <c r="F1419" s="165">
        <f aca="true" t="shared" si="30" ref="F1419:K1419">SUM(F1420:F1421)</f>
        <v>3157609.2</v>
      </c>
      <c r="G1419" s="544"/>
      <c r="H1419" s="82">
        <f t="shared" si="30"/>
        <v>0</v>
      </c>
      <c r="I1419" s="333">
        <f>SUM(I1420:I1421)</f>
        <v>0</v>
      </c>
      <c r="J1419" s="502">
        <f>I1419/F1419*100</f>
        <v>0</v>
      </c>
      <c r="K1419" s="333">
        <f t="shared" si="30"/>
        <v>0</v>
      </c>
      <c r="L1419" s="69">
        <f t="shared" si="19"/>
        <v>3157609.2</v>
      </c>
    </row>
    <row r="1420" spans="1:12" s="171" customFormat="1" ht="15" hidden="1">
      <c r="A1420" s="542"/>
      <c r="B1420" s="450"/>
      <c r="C1420" s="433"/>
      <c r="D1420" s="433"/>
      <c r="E1420" s="323" t="s">
        <v>75</v>
      </c>
      <c r="F1420" s="231">
        <v>2999728.74</v>
      </c>
      <c r="G1420" s="545"/>
      <c r="H1420" s="326"/>
      <c r="I1420" s="233"/>
      <c r="J1420" s="503"/>
      <c r="K1420" s="247"/>
      <c r="L1420" s="69">
        <f t="shared" si="19"/>
        <v>2999728.74</v>
      </c>
    </row>
    <row r="1421" spans="1:12" s="171" customFormat="1" ht="15" hidden="1">
      <c r="A1421" s="543"/>
      <c r="B1421" s="451"/>
      <c r="C1421" s="434"/>
      <c r="D1421" s="434"/>
      <c r="E1421" s="323" t="s">
        <v>18</v>
      </c>
      <c r="F1421" s="231">
        <v>157880.45999999996</v>
      </c>
      <c r="G1421" s="546"/>
      <c r="H1421" s="326"/>
      <c r="I1421" s="233"/>
      <c r="J1421" s="504"/>
      <c r="K1421" s="247"/>
      <c r="L1421" s="69">
        <f t="shared" si="19"/>
        <v>157880.45999999996</v>
      </c>
    </row>
    <row r="1422" spans="1:12" s="171" customFormat="1" ht="15" hidden="1">
      <c r="A1422" s="541">
        <v>13</v>
      </c>
      <c r="B1422" s="449" t="s">
        <v>458</v>
      </c>
      <c r="C1422" s="432"/>
      <c r="D1422" s="432"/>
      <c r="E1422" s="81" t="s">
        <v>34</v>
      </c>
      <c r="F1422" s="165">
        <f aca="true" t="shared" si="31" ref="F1422:K1422">SUM(F1423:F1424)</f>
        <v>1999067.5</v>
      </c>
      <c r="G1422" s="544"/>
      <c r="H1422" s="82">
        <f t="shared" si="31"/>
        <v>0</v>
      </c>
      <c r="I1422" s="333">
        <f>SUM(I1423:I1424)</f>
        <v>0</v>
      </c>
      <c r="J1422" s="502">
        <f>I1422/F1422*100</f>
        <v>0</v>
      </c>
      <c r="K1422" s="333">
        <f t="shared" si="31"/>
        <v>0</v>
      </c>
      <c r="L1422" s="69">
        <f t="shared" si="19"/>
        <v>1999067.5</v>
      </c>
    </row>
    <row r="1423" spans="1:12" s="171" customFormat="1" ht="15" hidden="1">
      <c r="A1423" s="542"/>
      <c r="B1423" s="450"/>
      <c r="C1423" s="433"/>
      <c r="D1423" s="433"/>
      <c r="E1423" s="323" t="s">
        <v>75</v>
      </c>
      <c r="F1423" s="231">
        <v>1899114.12</v>
      </c>
      <c r="G1423" s="545"/>
      <c r="H1423" s="326"/>
      <c r="I1423" s="233"/>
      <c r="J1423" s="503"/>
      <c r="K1423" s="247"/>
      <c r="L1423" s="69">
        <f t="shared" si="19"/>
        <v>1899114.12</v>
      </c>
    </row>
    <row r="1424" spans="1:12" s="171" customFormat="1" ht="15" hidden="1">
      <c r="A1424" s="543"/>
      <c r="B1424" s="451"/>
      <c r="C1424" s="434"/>
      <c r="D1424" s="434"/>
      <c r="E1424" s="323" t="s">
        <v>18</v>
      </c>
      <c r="F1424" s="231">
        <v>99953.37999999989</v>
      </c>
      <c r="G1424" s="546"/>
      <c r="H1424" s="326"/>
      <c r="I1424" s="233"/>
      <c r="J1424" s="504"/>
      <c r="K1424" s="247"/>
      <c r="L1424" s="69">
        <f t="shared" si="19"/>
        <v>99953.37999999989</v>
      </c>
    </row>
    <row r="1425" spans="1:12" s="171" customFormat="1" ht="15" hidden="1">
      <c r="A1425" s="541">
        <v>14</v>
      </c>
      <c r="B1425" s="449" t="s">
        <v>459</v>
      </c>
      <c r="C1425" s="432"/>
      <c r="D1425" s="432"/>
      <c r="E1425" s="81" t="s">
        <v>34</v>
      </c>
      <c r="F1425" s="165">
        <f aca="true" t="shared" si="32" ref="F1425:K1425">SUM(F1426:F1427)</f>
        <v>5263158.72</v>
      </c>
      <c r="G1425" s="544"/>
      <c r="H1425" s="82">
        <f t="shared" si="32"/>
        <v>0</v>
      </c>
      <c r="I1425" s="333">
        <f>SUM(I1426:I1427)</f>
        <v>0</v>
      </c>
      <c r="J1425" s="502">
        <f>I1425/F1425*100</f>
        <v>0</v>
      </c>
      <c r="K1425" s="333">
        <f t="shared" si="32"/>
        <v>0</v>
      </c>
      <c r="L1425" s="69">
        <f t="shared" si="19"/>
        <v>5263158.72</v>
      </c>
    </row>
    <row r="1426" spans="1:12" s="171" customFormat="1" ht="15" hidden="1">
      <c r="A1426" s="542"/>
      <c r="B1426" s="450"/>
      <c r="C1426" s="433"/>
      <c r="D1426" s="433"/>
      <c r="E1426" s="323" t="s">
        <v>75</v>
      </c>
      <c r="F1426" s="231">
        <v>5000000</v>
      </c>
      <c r="G1426" s="545"/>
      <c r="H1426" s="326"/>
      <c r="I1426" s="233"/>
      <c r="J1426" s="503"/>
      <c r="K1426" s="247"/>
      <c r="L1426" s="69">
        <f t="shared" si="19"/>
        <v>5000000</v>
      </c>
    </row>
    <row r="1427" spans="1:12" s="171" customFormat="1" ht="15" hidden="1">
      <c r="A1427" s="543"/>
      <c r="B1427" s="451"/>
      <c r="C1427" s="434"/>
      <c r="D1427" s="434"/>
      <c r="E1427" s="323" t="s">
        <v>18</v>
      </c>
      <c r="F1427" s="231">
        <v>263158.71999999974</v>
      </c>
      <c r="G1427" s="546"/>
      <c r="H1427" s="326"/>
      <c r="I1427" s="233"/>
      <c r="J1427" s="504"/>
      <c r="K1427" s="247"/>
      <c r="L1427" s="69">
        <f t="shared" si="19"/>
        <v>263158.71999999974</v>
      </c>
    </row>
    <row r="1428" spans="1:12" s="171" customFormat="1" ht="15" hidden="1">
      <c r="A1428" s="541">
        <v>15</v>
      </c>
      <c r="B1428" s="449" t="s">
        <v>460</v>
      </c>
      <c r="C1428" s="432"/>
      <c r="D1428" s="432"/>
      <c r="E1428" s="81" t="s">
        <v>34</v>
      </c>
      <c r="F1428" s="165">
        <f aca="true" t="shared" si="33" ref="F1428:K1428">SUM(F1429:F1430)</f>
        <v>3142426.14</v>
      </c>
      <c r="G1428" s="544"/>
      <c r="H1428" s="82">
        <f t="shared" si="33"/>
        <v>0</v>
      </c>
      <c r="I1428" s="333">
        <f>SUM(I1429:I1430)</f>
        <v>0</v>
      </c>
      <c r="J1428" s="502">
        <f>I1428/F1428*100</f>
        <v>0</v>
      </c>
      <c r="K1428" s="333">
        <f t="shared" si="33"/>
        <v>0</v>
      </c>
      <c r="L1428" s="69">
        <f t="shared" si="19"/>
        <v>3142426.14</v>
      </c>
    </row>
    <row r="1429" spans="1:12" s="171" customFormat="1" ht="15" hidden="1">
      <c r="A1429" s="542"/>
      <c r="B1429" s="450"/>
      <c r="C1429" s="433"/>
      <c r="D1429" s="433"/>
      <c r="E1429" s="323" t="s">
        <v>75</v>
      </c>
      <c r="F1429" s="231">
        <v>2985304.83</v>
      </c>
      <c r="G1429" s="545"/>
      <c r="H1429" s="326"/>
      <c r="I1429" s="233"/>
      <c r="J1429" s="503"/>
      <c r="K1429" s="247"/>
      <c r="L1429" s="69">
        <f t="shared" si="19"/>
        <v>2985304.83</v>
      </c>
    </row>
    <row r="1430" spans="1:12" s="171" customFormat="1" ht="15" hidden="1">
      <c r="A1430" s="543"/>
      <c r="B1430" s="451"/>
      <c r="C1430" s="434"/>
      <c r="D1430" s="434"/>
      <c r="E1430" s="323" t="s">
        <v>18</v>
      </c>
      <c r="F1430" s="231">
        <v>157121.31000000006</v>
      </c>
      <c r="G1430" s="546"/>
      <c r="H1430" s="326"/>
      <c r="I1430" s="233"/>
      <c r="J1430" s="504"/>
      <c r="K1430" s="247"/>
      <c r="L1430" s="69">
        <f t="shared" si="19"/>
        <v>157121.31000000006</v>
      </c>
    </row>
    <row r="1431" spans="1:12" s="171" customFormat="1" ht="15" hidden="1">
      <c r="A1431" s="541">
        <v>16</v>
      </c>
      <c r="B1431" s="449" t="s">
        <v>461</v>
      </c>
      <c r="C1431" s="400"/>
      <c r="D1431" s="452"/>
      <c r="E1431" s="81" t="s">
        <v>34</v>
      </c>
      <c r="F1431" s="165">
        <f aca="true" t="shared" si="34" ref="F1431:K1431">SUM(F1432:F1433)</f>
        <v>1061424</v>
      </c>
      <c r="G1431" s="544"/>
      <c r="H1431" s="333">
        <f t="shared" si="34"/>
        <v>0</v>
      </c>
      <c r="I1431" s="333">
        <f>SUM(I1432:I1433)</f>
        <v>0</v>
      </c>
      <c r="J1431" s="502">
        <f>I1431/F1431*100</f>
        <v>0</v>
      </c>
      <c r="K1431" s="333">
        <f t="shared" si="34"/>
        <v>0</v>
      </c>
      <c r="L1431" s="69">
        <f t="shared" si="19"/>
        <v>1061424</v>
      </c>
    </row>
    <row r="1432" spans="1:12" s="171" customFormat="1" ht="15" hidden="1">
      <c r="A1432" s="542"/>
      <c r="B1432" s="450"/>
      <c r="C1432" s="401"/>
      <c r="D1432" s="453"/>
      <c r="E1432" s="323" t="s">
        <v>75</v>
      </c>
      <c r="F1432" s="231">
        <v>1000000</v>
      </c>
      <c r="G1432" s="545"/>
      <c r="H1432" s="326"/>
      <c r="I1432" s="233"/>
      <c r="J1432" s="503"/>
      <c r="K1432" s="247"/>
      <c r="L1432" s="69">
        <f t="shared" si="19"/>
        <v>1000000</v>
      </c>
    </row>
    <row r="1433" spans="1:12" s="171" customFormat="1" ht="15" hidden="1">
      <c r="A1433" s="543"/>
      <c r="B1433" s="451"/>
      <c r="C1433" s="402"/>
      <c r="D1433" s="454"/>
      <c r="E1433" s="323" t="s">
        <v>18</v>
      </c>
      <c r="F1433" s="231">
        <v>61424</v>
      </c>
      <c r="G1433" s="546"/>
      <c r="H1433" s="326"/>
      <c r="I1433" s="233"/>
      <c r="J1433" s="504"/>
      <c r="K1433" s="247"/>
      <c r="L1433" s="69">
        <f t="shared" si="19"/>
        <v>61424</v>
      </c>
    </row>
    <row r="1434" spans="1:12" s="171" customFormat="1" ht="15" hidden="1">
      <c r="A1434" s="541">
        <v>17</v>
      </c>
      <c r="B1434" s="449" t="s">
        <v>462</v>
      </c>
      <c r="C1434" s="400"/>
      <c r="D1434" s="378"/>
      <c r="E1434" s="81" t="s">
        <v>34</v>
      </c>
      <c r="F1434" s="272">
        <f aca="true" t="shared" si="35" ref="F1434:K1434">SUM(F1435:F1436)</f>
        <v>1052290.96</v>
      </c>
      <c r="G1434" s="544"/>
      <c r="H1434" s="333">
        <f t="shared" si="35"/>
        <v>0</v>
      </c>
      <c r="I1434" s="333">
        <f>SUM(I1435:I1436)</f>
        <v>0</v>
      </c>
      <c r="J1434" s="502">
        <f>I1434/F1434*100</f>
        <v>0</v>
      </c>
      <c r="K1434" s="333">
        <f t="shared" si="35"/>
        <v>0</v>
      </c>
      <c r="L1434" s="69">
        <f t="shared" si="19"/>
        <v>1052290.96</v>
      </c>
    </row>
    <row r="1435" spans="1:12" s="171" customFormat="1" ht="15" hidden="1">
      <c r="A1435" s="542"/>
      <c r="B1435" s="450"/>
      <c r="C1435" s="401"/>
      <c r="D1435" s="379"/>
      <c r="E1435" s="323" t="s">
        <v>75</v>
      </c>
      <c r="F1435" s="231">
        <v>999676.41</v>
      </c>
      <c r="G1435" s="545"/>
      <c r="H1435" s="326"/>
      <c r="I1435" s="233"/>
      <c r="J1435" s="503"/>
      <c r="K1435" s="323"/>
      <c r="L1435" s="69">
        <f t="shared" si="19"/>
        <v>999676.41</v>
      </c>
    </row>
    <row r="1436" spans="1:12" s="171" customFormat="1" ht="15" hidden="1">
      <c r="A1436" s="543"/>
      <c r="B1436" s="451"/>
      <c r="C1436" s="402"/>
      <c r="D1436" s="380"/>
      <c r="E1436" s="323" t="s">
        <v>18</v>
      </c>
      <c r="F1436" s="231">
        <v>52614.54999999993</v>
      </c>
      <c r="G1436" s="546"/>
      <c r="H1436" s="326"/>
      <c r="I1436" s="233"/>
      <c r="J1436" s="504"/>
      <c r="K1436" s="323"/>
      <c r="L1436" s="69">
        <f t="shared" si="19"/>
        <v>52614.54999999993</v>
      </c>
    </row>
    <row r="1437" spans="1:12" s="171" customFormat="1" ht="15" hidden="1">
      <c r="A1437" s="541">
        <v>18</v>
      </c>
      <c r="B1437" s="449" t="s">
        <v>463</v>
      </c>
      <c r="C1437" s="400"/>
      <c r="D1437" s="452"/>
      <c r="E1437" s="81" t="s">
        <v>34</v>
      </c>
      <c r="F1437" s="165">
        <f aca="true" t="shared" si="36" ref="F1437:K1437">SUM(F1438:F1439)</f>
        <v>1233888.24</v>
      </c>
      <c r="G1437" s="544"/>
      <c r="H1437" s="333">
        <f t="shared" si="36"/>
        <v>0</v>
      </c>
      <c r="I1437" s="333">
        <f>SUM(I1438:I1439)</f>
        <v>0</v>
      </c>
      <c r="J1437" s="502">
        <f>I1437/F1437*100</f>
        <v>0</v>
      </c>
      <c r="K1437" s="333">
        <f t="shared" si="36"/>
        <v>0</v>
      </c>
      <c r="L1437" s="69">
        <f t="shared" si="19"/>
        <v>1233888.24</v>
      </c>
    </row>
    <row r="1438" spans="1:12" s="171" customFormat="1" ht="15" hidden="1">
      <c r="A1438" s="542"/>
      <c r="B1438" s="450"/>
      <c r="C1438" s="401"/>
      <c r="D1438" s="453"/>
      <c r="E1438" s="323" t="s">
        <v>75</v>
      </c>
      <c r="F1438" s="231">
        <v>1000000</v>
      </c>
      <c r="G1438" s="545"/>
      <c r="H1438" s="326"/>
      <c r="I1438" s="233"/>
      <c r="J1438" s="503"/>
      <c r="K1438" s="323"/>
      <c r="L1438" s="69">
        <f t="shared" si="19"/>
        <v>1000000</v>
      </c>
    </row>
    <row r="1439" spans="1:12" s="171" customFormat="1" ht="15" hidden="1">
      <c r="A1439" s="543"/>
      <c r="B1439" s="451"/>
      <c r="C1439" s="402"/>
      <c r="D1439" s="454"/>
      <c r="E1439" s="323" t="s">
        <v>18</v>
      </c>
      <c r="F1439" s="231">
        <v>233888.24</v>
      </c>
      <c r="G1439" s="546"/>
      <c r="H1439" s="326"/>
      <c r="I1439" s="233"/>
      <c r="J1439" s="504"/>
      <c r="K1439" s="323"/>
      <c r="L1439" s="69">
        <f t="shared" si="19"/>
        <v>233888.24</v>
      </c>
    </row>
    <row r="1440" spans="1:12" s="170" customFormat="1" ht="14.25" customHeight="1" hidden="1">
      <c r="A1440" s="541">
        <v>19</v>
      </c>
      <c r="B1440" s="449" t="s">
        <v>464</v>
      </c>
      <c r="C1440" s="400"/>
      <c r="D1440" s="452"/>
      <c r="E1440" s="81" t="s">
        <v>34</v>
      </c>
      <c r="F1440" s="272">
        <f aca="true" t="shared" si="37" ref="F1440:K1440">SUM(F1441:F1442)</f>
        <v>1627365.14</v>
      </c>
      <c r="G1440" s="556"/>
      <c r="H1440" s="273">
        <f t="shared" si="37"/>
        <v>0</v>
      </c>
      <c r="I1440" s="273">
        <f>SUM(I1441:I1442)</f>
        <v>0</v>
      </c>
      <c r="J1440" s="502">
        <f>I1440/F1440*100</f>
        <v>0</v>
      </c>
      <c r="K1440" s="273">
        <f t="shared" si="37"/>
        <v>0</v>
      </c>
      <c r="L1440" s="69">
        <f t="shared" si="19"/>
        <v>1627365.14</v>
      </c>
    </row>
    <row r="1441" spans="1:12" s="170" customFormat="1" ht="15" hidden="1">
      <c r="A1441" s="542"/>
      <c r="B1441" s="450"/>
      <c r="C1441" s="401"/>
      <c r="D1441" s="453"/>
      <c r="E1441" s="323" t="s">
        <v>75</v>
      </c>
      <c r="F1441" s="231">
        <v>1500000</v>
      </c>
      <c r="G1441" s="557"/>
      <c r="H1441" s="326"/>
      <c r="I1441" s="233"/>
      <c r="J1441" s="503"/>
      <c r="K1441" s="309"/>
      <c r="L1441" s="69">
        <f t="shared" si="19"/>
        <v>1500000</v>
      </c>
    </row>
    <row r="1442" spans="1:12" s="170" customFormat="1" ht="15" hidden="1">
      <c r="A1442" s="543"/>
      <c r="B1442" s="451"/>
      <c r="C1442" s="402"/>
      <c r="D1442" s="454"/>
      <c r="E1442" s="323" t="s">
        <v>18</v>
      </c>
      <c r="F1442" s="231">
        <v>127365.1399999999</v>
      </c>
      <c r="G1442" s="558"/>
      <c r="H1442" s="326"/>
      <c r="I1442" s="233"/>
      <c r="J1442" s="504"/>
      <c r="K1442" s="309"/>
      <c r="L1442" s="69">
        <f t="shared" si="19"/>
        <v>127365.1399999999</v>
      </c>
    </row>
    <row r="1443" spans="1:12" s="170" customFormat="1" ht="14.25" hidden="1">
      <c r="A1443" s="541">
        <v>20</v>
      </c>
      <c r="B1443" s="449" t="s">
        <v>465</v>
      </c>
      <c r="C1443" s="400"/>
      <c r="D1443" s="452"/>
      <c r="E1443" s="81" t="s">
        <v>34</v>
      </c>
      <c r="F1443" s="165">
        <f aca="true" t="shared" si="38" ref="F1443:K1443">SUM(F1444:F1445)</f>
        <v>1047911.98</v>
      </c>
      <c r="G1443" s="544"/>
      <c r="H1443" s="333">
        <f t="shared" si="38"/>
        <v>0</v>
      </c>
      <c r="I1443" s="333">
        <f>SUM(I1444:I1445)</f>
        <v>0</v>
      </c>
      <c r="J1443" s="502">
        <f>I1443/F1443*100</f>
        <v>0</v>
      </c>
      <c r="K1443" s="333">
        <f t="shared" si="38"/>
        <v>0</v>
      </c>
      <c r="L1443" s="69">
        <f t="shared" si="19"/>
        <v>1047911.98</v>
      </c>
    </row>
    <row r="1444" spans="1:12" s="171" customFormat="1" ht="15" hidden="1">
      <c r="A1444" s="542"/>
      <c r="B1444" s="450"/>
      <c r="C1444" s="401"/>
      <c r="D1444" s="453"/>
      <c r="E1444" s="323" t="s">
        <v>75</v>
      </c>
      <c r="F1444" s="231">
        <v>995516.38</v>
      </c>
      <c r="G1444" s="545"/>
      <c r="H1444" s="326"/>
      <c r="I1444" s="233"/>
      <c r="J1444" s="503"/>
      <c r="K1444" s="247"/>
      <c r="L1444" s="69">
        <f t="shared" si="19"/>
        <v>995516.38</v>
      </c>
    </row>
    <row r="1445" spans="1:12" s="171" customFormat="1" ht="15" hidden="1">
      <c r="A1445" s="543"/>
      <c r="B1445" s="451"/>
      <c r="C1445" s="402"/>
      <c r="D1445" s="454"/>
      <c r="E1445" s="323" t="s">
        <v>18</v>
      </c>
      <c r="F1445" s="231">
        <v>52395.59999999998</v>
      </c>
      <c r="G1445" s="546"/>
      <c r="H1445" s="326"/>
      <c r="I1445" s="233"/>
      <c r="J1445" s="504"/>
      <c r="K1445" s="275"/>
      <c r="L1445" s="69">
        <f t="shared" si="19"/>
        <v>52395.59999999998</v>
      </c>
    </row>
    <row r="1446" spans="1:12" s="171" customFormat="1" ht="14.25" customHeight="1" hidden="1">
      <c r="A1446" s="541">
        <v>21</v>
      </c>
      <c r="B1446" s="449" t="s">
        <v>466</v>
      </c>
      <c r="C1446" s="400"/>
      <c r="D1446" s="452"/>
      <c r="E1446" s="81" t="s">
        <v>34</v>
      </c>
      <c r="F1446" s="165">
        <f aca="true" t="shared" si="39" ref="F1446:K1446">SUM(F1447:F1448)</f>
        <v>1055653.96</v>
      </c>
      <c r="G1446" s="544"/>
      <c r="H1446" s="333">
        <f t="shared" si="39"/>
        <v>0</v>
      </c>
      <c r="I1446" s="333">
        <f>SUM(I1447:I1448)</f>
        <v>0</v>
      </c>
      <c r="J1446" s="502">
        <f>I1446/F1446*100</f>
        <v>0</v>
      </c>
      <c r="K1446" s="333">
        <f t="shared" si="39"/>
        <v>0</v>
      </c>
      <c r="L1446" s="69">
        <f t="shared" si="19"/>
        <v>1055653.96</v>
      </c>
    </row>
    <row r="1447" spans="1:12" s="171" customFormat="1" ht="15" hidden="1">
      <c r="A1447" s="542"/>
      <c r="B1447" s="450"/>
      <c r="C1447" s="401"/>
      <c r="D1447" s="453"/>
      <c r="E1447" s="323" t="s">
        <v>75</v>
      </c>
      <c r="F1447" s="231">
        <v>1000000</v>
      </c>
      <c r="G1447" s="545"/>
      <c r="H1447" s="326"/>
      <c r="I1447" s="233"/>
      <c r="J1447" s="503"/>
      <c r="K1447" s="247"/>
      <c r="L1447" s="69">
        <f t="shared" si="19"/>
        <v>1000000</v>
      </c>
    </row>
    <row r="1448" spans="1:12" s="171" customFormat="1" ht="15" hidden="1">
      <c r="A1448" s="543"/>
      <c r="B1448" s="451"/>
      <c r="C1448" s="402"/>
      <c r="D1448" s="454"/>
      <c r="E1448" s="323" t="s">
        <v>18</v>
      </c>
      <c r="F1448" s="231">
        <v>55653.95999999996</v>
      </c>
      <c r="G1448" s="546"/>
      <c r="H1448" s="326"/>
      <c r="I1448" s="233"/>
      <c r="J1448" s="504"/>
      <c r="K1448" s="247"/>
      <c r="L1448" s="69">
        <f t="shared" si="19"/>
        <v>55653.95999999996</v>
      </c>
    </row>
    <row r="1449" spans="1:12" s="171" customFormat="1" ht="15" hidden="1">
      <c r="A1449" s="541">
        <v>22</v>
      </c>
      <c r="B1449" s="449" t="s">
        <v>467</v>
      </c>
      <c r="C1449" s="400"/>
      <c r="D1449" s="452"/>
      <c r="E1449" s="81" t="s">
        <v>34</v>
      </c>
      <c r="F1449" s="165">
        <f aca="true" t="shared" si="40" ref="F1449:K1449">SUM(F1450:F1451)</f>
        <v>1052632</v>
      </c>
      <c r="G1449" s="544"/>
      <c r="H1449" s="333">
        <f t="shared" si="40"/>
        <v>0</v>
      </c>
      <c r="I1449" s="333">
        <f>SUM(I1450:I1451)</f>
        <v>0</v>
      </c>
      <c r="J1449" s="502">
        <f>I1449/F1449*100</f>
        <v>0</v>
      </c>
      <c r="K1449" s="333">
        <f t="shared" si="40"/>
        <v>0</v>
      </c>
      <c r="L1449" s="69">
        <f t="shared" si="19"/>
        <v>1052632</v>
      </c>
    </row>
    <row r="1450" spans="1:12" s="171" customFormat="1" ht="15" hidden="1">
      <c r="A1450" s="542"/>
      <c r="B1450" s="450"/>
      <c r="C1450" s="401"/>
      <c r="D1450" s="453"/>
      <c r="E1450" s="323" t="s">
        <v>75</v>
      </c>
      <c r="F1450" s="231">
        <v>1000000</v>
      </c>
      <c r="G1450" s="545"/>
      <c r="H1450" s="326"/>
      <c r="I1450" s="233"/>
      <c r="J1450" s="503"/>
      <c r="K1450" s="247"/>
      <c r="L1450" s="69">
        <f aca="true" t="shared" si="41" ref="L1450:L1513">F1450-K1450</f>
        <v>1000000</v>
      </c>
    </row>
    <row r="1451" spans="1:12" s="171" customFormat="1" ht="15" hidden="1">
      <c r="A1451" s="543"/>
      <c r="B1451" s="451"/>
      <c r="C1451" s="402"/>
      <c r="D1451" s="454"/>
      <c r="E1451" s="323" t="s">
        <v>18</v>
      </c>
      <c r="F1451" s="231">
        <v>52632</v>
      </c>
      <c r="G1451" s="546"/>
      <c r="H1451" s="326"/>
      <c r="I1451" s="233"/>
      <c r="J1451" s="504"/>
      <c r="K1451" s="247"/>
      <c r="L1451" s="69">
        <f t="shared" si="41"/>
        <v>52632</v>
      </c>
    </row>
    <row r="1452" spans="1:12" s="171" customFormat="1" ht="15" hidden="1">
      <c r="A1452" s="541">
        <v>23</v>
      </c>
      <c r="B1452" s="449" t="s">
        <v>468</v>
      </c>
      <c r="C1452" s="400"/>
      <c r="D1452" s="452"/>
      <c r="E1452" s="81" t="s">
        <v>34</v>
      </c>
      <c r="F1452" s="165">
        <f aca="true" t="shared" si="42" ref="F1452:K1452">SUM(F1453:F1454)</f>
        <v>1051551.1</v>
      </c>
      <c r="G1452" s="544"/>
      <c r="H1452" s="333">
        <f t="shared" si="42"/>
        <v>0</v>
      </c>
      <c r="I1452" s="333">
        <f>SUM(I1453:I1454)</f>
        <v>0</v>
      </c>
      <c r="J1452" s="502">
        <f>I1452/F1452*100</f>
        <v>0</v>
      </c>
      <c r="K1452" s="333">
        <f t="shared" si="42"/>
        <v>0</v>
      </c>
      <c r="L1452" s="69">
        <f t="shared" si="41"/>
        <v>1051551.1</v>
      </c>
    </row>
    <row r="1453" spans="1:12" s="171" customFormat="1" ht="15" hidden="1">
      <c r="A1453" s="542"/>
      <c r="B1453" s="450"/>
      <c r="C1453" s="401"/>
      <c r="D1453" s="453"/>
      <c r="E1453" s="323" t="s">
        <v>75</v>
      </c>
      <c r="F1453" s="231">
        <v>996206.31</v>
      </c>
      <c r="G1453" s="545"/>
      <c r="H1453" s="326"/>
      <c r="I1453" s="233"/>
      <c r="J1453" s="503"/>
      <c r="K1453" s="247"/>
      <c r="L1453" s="69">
        <f t="shared" si="41"/>
        <v>996206.31</v>
      </c>
    </row>
    <row r="1454" spans="1:12" s="171" customFormat="1" ht="15" hidden="1">
      <c r="A1454" s="543"/>
      <c r="B1454" s="451"/>
      <c r="C1454" s="402"/>
      <c r="D1454" s="454"/>
      <c r="E1454" s="323" t="s">
        <v>18</v>
      </c>
      <c r="F1454" s="231">
        <v>55344.79000000004</v>
      </c>
      <c r="G1454" s="546"/>
      <c r="H1454" s="326"/>
      <c r="I1454" s="233"/>
      <c r="J1454" s="504"/>
      <c r="K1454" s="247"/>
      <c r="L1454" s="69">
        <f t="shared" si="41"/>
        <v>55344.79000000004</v>
      </c>
    </row>
    <row r="1455" spans="1:12" s="171" customFormat="1" ht="15" hidden="1">
      <c r="A1455" s="541">
        <v>24</v>
      </c>
      <c r="B1455" s="449" t="s">
        <v>469</v>
      </c>
      <c r="C1455" s="400"/>
      <c r="D1455" s="452"/>
      <c r="E1455" s="81" t="s">
        <v>34</v>
      </c>
      <c r="F1455" s="165">
        <f aca="true" t="shared" si="43" ref="F1455:K1455">SUM(F1456:F1457)</f>
        <v>1603602.3</v>
      </c>
      <c r="G1455" s="293"/>
      <c r="H1455" s="333">
        <f t="shared" si="43"/>
        <v>0</v>
      </c>
      <c r="I1455" s="333">
        <f>SUM(I1456:I1457)</f>
        <v>0</v>
      </c>
      <c r="J1455" s="502">
        <f>I1455/F1455*100</f>
        <v>0</v>
      </c>
      <c r="K1455" s="333">
        <f t="shared" si="43"/>
        <v>0</v>
      </c>
      <c r="L1455" s="69">
        <f t="shared" si="41"/>
        <v>1603602.3</v>
      </c>
    </row>
    <row r="1456" spans="1:12" s="171" customFormat="1" ht="15" hidden="1">
      <c r="A1456" s="542"/>
      <c r="B1456" s="450"/>
      <c r="C1456" s="401"/>
      <c r="D1456" s="453"/>
      <c r="E1456" s="323" t="s">
        <v>75</v>
      </c>
      <c r="F1456" s="231">
        <v>1500000</v>
      </c>
      <c r="G1456" s="294"/>
      <c r="H1456" s="326"/>
      <c r="I1456" s="233"/>
      <c r="J1456" s="503"/>
      <c r="K1456" s="247"/>
      <c r="L1456" s="69">
        <f t="shared" si="41"/>
        <v>1500000</v>
      </c>
    </row>
    <row r="1457" spans="1:12" s="171" customFormat="1" ht="15" hidden="1">
      <c r="A1457" s="543"/>
      <c r="B1457" s="451"/>
      <c r="C1457" s="402"/>
      <c r="D1457" s="454"/>
      <c r="E1457" s="323" t="s">
        <v>18</v>
      </c>
      <c r="F1457" s="231">
        <v>103602.30000000005</v>
      </c>
      <c r="G1457" s="295"/>
      <c r="H1457" s="326"/>
      <c r="I1457" s="233"/>
      <c r="J1457" s="504"/>
      <c r="K1457" s="247"/>
      <c r="L1457" s="69">
        <f t="shared" si="41"/>
        <v>103602.30000000005</v>
      </c>
    </row>
    <row r="1458" spans="1:12" s="171" customFormat="1" ht="15" hidden="1">
      <c r="A1458" s="541">
        <v>25</v>
      </c>
      <c r="B1458" s="449" t="s">
        <v>470</v>
      </c>
      <c r="C1458" s="400"/>
      <c r="D1458" s="452"/>
      <c r="E1458" s="81" t="s">
        <v>34</v>
      </c>
      <c r="F1458" s="165">
        <f aca="true" t="shared" si="44" ref="F1458:K1458">SUM(F1459:F1460)</f>
        <v>2549654.32</v>
      </c>
      <c r="G1458" s="544"/>
      <c r="H1458" s="333">
        <f t="shared" si="44"/>
        <v>0</v>
      </c>
      <c r="I1458" s="333">
        <f>SUM(I1459:I1460)</f>
        <v>0</v>
      </c>
      <c r="J1458" s="502">
        <f>I1458/F1458*100</f>
        <v>0</v>
      </c>
      <c r="K1458" s="333">
        <f t="shared" si="44"/>
        <v>0</v>
      </c>
      <c r="L1458" s="69">
        <f t="shared" si="41"/>
        <v>2549654.32</v>
      </c>
    </row>
    <row r="1459" spans="1:12" s="171" customFormat="1" ht="15" hidden="1">
      <c r="A1459" s="542"/>
      <c r="B1459" s="450"/>
      <c r="C1459" s="401"/>
      <c r="D1459" s="453"/>
      <c r="E1459" s="323" t="s">
        <v>75</v>
      </c>
      <c r="F1459" s="231">
        <v>2422171.6</v>
      </c>
      <c r="G1459" s="545"/>
      <c r="H1459" s="326"/>
      <c r="I1459" s="233"/>
      <c r="J1459" s="503"/>
      <c r="K1459" s="247"/>
      <c r="L1459" s="69">
        <f t="shared" si="41"/>
        <v>2422171.6</v>
      </c>
    </row>
    <row r="1460" spans="1:12" s="171" customFormat="1" ht="15" hidden="1">
      <c r="A1460" s="543"/>
      <c r="B1460" s="451"/>
      <c r="C1460" s="402"/>
      <c r="D1460" s="454"/>
      <c r="E1460" s="323" t="s">
        <v>18</v>
      </c>
      <c r="F1460" s="237">
        <v>127482.71999999974</v>
      </c>
      <c r="G1460" s="546"/>
      <c r="H1460" s="326"/>
      <c r="I1460" s="233"/>
      <c r="J1460" s="504"/>
      <c r="K1460" s="276"/>
      <c r="L1460" s="69">
        <f t="shared" si="41"/>
        <v>127482.71999999974</v>
      </c>
    </row>
    <row r="1461" spans="1:12" s="171" customFormat="1" ht="15" hidden="1">
      <c r="A1461" s="541">
        <v>26</v>
      </c>
      <c r="B1461" s="449" t="s">
        <v>471</v>
      </c>
      <c r="C1461" s="400"/>
      <c r="D1461" s="452"/>
      <c r="E1461" s="81" t="s">
        <v>34</v>
      </c>
      <c r="F1461" s="165">
        <f aca="true" t="shared" si="45" ref="F1461:K1461">SUM(F1462:F1463)</f>
        <v>3149522.66</v>
      </c>
      <c r="G1461" s="544"/>
      <c r="H1461" s="333">
        <f t="shared" si="45"/>
        <v>0</v>
      </c>
      <c r="I1461" s="333">
        <f>SUM(I1462:I1463)</f>
        <v>0</v>
      </c>
      <c r="J1461" s="502">
        <f>I1461/F1461*100</f>
        <v>0</v>
      </c>
      <c r="K1461" s="333">
        <f t="shared" si="45"/>
        <v>0</v>
      </c>
      <c r="L1461" s="69">
        <f t="shared" si="41"/>
        <v>3149522.66</v>
      </c>
    </row>
    <row r="1462" spans="1:12" s="171" customFormat="1" ht="15" hidden="1">
      <c r="A1462" s="542"/>
      <c r="B1462" s="450"/>
      <c r="C1462" s="401"/>
      <c r="D1462" s="453"/>
      <c r="E1462" s="323" t="s">
        <v>75</v>
      </c>
      <c r="F1462" s="231">
        <v>2771579.94</v>
      </c>
      <c r="G1462" s="545"/>
      <c r="H1462" s="326"/>
      <c r="I1462" s="233"/>
      <c r="J1462" s="503"/>
      <c r="K1462" s="247"/>
      <c r="L1462" s="69">
        <f t="shared" si="41"/>
        <v>2771579.94</v>
      </c>
    </row>
    <row r="1463" spans="1:12" s="171" customFormat="1" ht="15" hidden="1">
      <c r="A1463" s="543"/>
      <c r="B1463" s="451"/>
      <c r="C1463" s="402"/>
      <c r="D1463" s="454"/>
      <c r="E1463" s="323" t="s">
        <v>18</v>
      </c>
      <c r="F1463" s="231">
        <v>377942.7200000002</v>
      </c>
      <c r="G1463" s="546"/>
      <c r="H1463" s="326"/>
      <c r="I1463" s="233"/>
      <c r="J1463" s="504"/>
      <c r="K1463" s="247"/>
      <c r="L1463" s="69">
        <f t="shared" si="41"/>
        <v>377942.7200000002</v>
      </c>
    </row>
    <row r="1464" spans="1:12" s="171" customFormat="1" ht="30.75" customHeight="1" hidden="1">
      <c r="A1464" s="541">
        <v>27</v>
      </c>
      <c r="B1464" s="449" t="s">
        <v>472</v>
      </c>
      <c r="C1464" s="400"/>
      <c r="D1464" s="452"/>
      <c r="E1464" s="81" t="s">
        <v>34</v>
      </c>
      <c r="F1464" s="165">
        <f aca="true" t="shared" si="46" ref="F1464:K1464">SUM(F1465:F1466)</f>
        <v>2420155.22</v>
      </c>
      <c r="G1464" s="544"/>
      <c r="H1464" s="333">
        <f t="shared" si="46"/>
        <v>0</v>
      </c>
      <c r="I1464" s="333">
        <f>SUM(I1465:I1466)</f>
        <v>0</v>
      </c>
      <c r="J1464" s="502">
        <f>I1464/F1464*100</f>
        <v>0</v>
      </c>
      <c r="K1464" s="333">
        <f t="shared" si="46"/>
        <v>0</v>
      </c>
      <c r="L1464" s="69">
        <f t="shared" si="41"/>
        <v>2420155.22</v>
      </c>
    </row>
    <row r="1465" spans="1:12" s="171" customFormat="1" ht="15" hidden="1">
      <c r="A1465" s="542"/>
      <c r="B1465" s="450"/>
      <c r="C1465" s="401"/>
      <c r="D1465" s="453"/>
      <c r="E1465" s="323" t="s">
        <v>75</v>
      </c>
      <c r="F1465" s="231">
        <v>2299147.45</v>
      </c>
      <c r="G1465" s="545"/>
      <c r="H1465" s="326"/>
      <c r="I1465" s="233"/>
      <c r="J1465" s="503"/>
      <c r="K1465" s="247"/>
      <c r="L1465" s="69">
        <f t="shared" si="41"/>
        <v>2299147.45</v>
      </c>
    </row>
    <row r="1466" spans="1:12" s="171" customFormat="1" ht="15" hidden="1">
      <c r="A1466" s="543"/>
      <c r="B1466" s="451"/>
      <c r="C1466" s="402"/>
      <c r="D1466" s="454"/>
      <c r="E1466" s="323" t="s">
        <v>18</v>
      </c>
      <c r="F1466" s="231">
        <v>121007.77000000002</v>
      </c>
      <c r="G1466" s="546"/>
      <c r="H1466" s="326"/>
      <c r="I1466" s="233"/>
      <c r="J1466" s="504"/>
      <c r="K1466" s="247"/>
      <c r="L1466" s="69">
        <f t="shared" si="41"/>
        <v>121007.77000000002</v>
      </c>
    </row>
    <row r="1467" spans="1:12" s="171" customFormat="1" ht="15" hidden="1">
      <c r="A1467" s="541">
        <v>28</v>
      </c>
      <c r="B1467" s="449" t="s">
        <v>473</v>
      </c>
      <c r="C1467" s="400"/>
      <c r="D1467" s="452"/>
      <c r="E1467" s="81" t="s">
        <v>34</v>
      </c>
      <c r="F1467" s="165">
        <f aca="true" t="shared" si="47" ref="F1467:K1467">SUM(F1468:F1469)</f>
        <v>2817611.08</v>
      </c>
      <c r="G1467" s="544"/>
      <c r="H1467" s="333">
        <f t="shared" si="47"/>
        <v>0</v>
      </c>
      <c r="I1467" s="333">
        <f>SUM(I1468:I1469)</f>
        <v>0</v>
      </c>
      <c r="J1467" s="502">
        <f>I1467/F1467*100</f>
        <v>0</v>
      </c>
      <c r="K1467" s="333">
        <f t="shared" si="47"/>
        <v>0</v>
      </c>
      <c r="L1467" s="69">
        <f t="shared" si="41"/>
        <v>2817611.08</v>
      </c>
    </row>
    <row r="1468" spans="1:12" s="171" customFormat="1" ht="15" hidden="1">
      <c r="A1468" s="542"/>
      <c r="B1468" s="450"/>
      <c r="C1468" s="401"/>
      <c r="D1468" s="453"/>
      <c r="E1468" s="323" t="s">
        <v>75</v>
      </c>
      <c r="F1468" s="231">
        <v>2507101.01</v>
      </c>
      <c r="G1468" s="545"/>
      <c r="H1468" s="326"/>
      <c r="I1468" s="233"/>
      <c r="J1468" s="503"/>
      <c r="K1468" s="247"/>
      <c r="L1468" s="69">
        <f t="shared" si="41"/>
        <v>2507101.01</v>
      </c>
    </row>
    <row r="1469" spans="1:12" s="171" customFormat="1" ht="15" hidden="1">
      <c r="A1469" s="543"/>
      <c r="B1469" s="451"/>
      <c r="C1469" s="402"/>
      <c r="D1469" s="454"/>
      <c r="E1469" s="323" t="s">
        <v>18</v>
      </c>
      <c r="F1469" s="237">
        <v>310510.0700000003</v>
      </c>
      <c r="G1469" s="546"/>
      <c r="H1469" s="326"/>
      <c r="I1469" s="233"/>
      <c r="J1469" s="504"/>
      <c r="K1469" s="247"/>
      <c r="L1469" s="69">
        <f t="shared" si="41"/>
        <v>310510.0700000003</v>
      </c>
    </row>
    <row r="1470" spans="1:12" s="171" customFormat="1" ht="15" hidden="1">
      <c r="A1470" s="541">
        <v>29</v>
      </c>
      <c r="B1470" s="449" t="s">
        <v>474</v>
      </c>
      <c r="C1470" s="400"/>
      <c r="D1470" s="452"/>
      <c r="E1470" s="81" t="s">
        <v>34</v>
      </c>
      <c r="F1470" s="165">
        <f aca="true" t="shared" si="48" ref="F1470:K1470">SUM(F1471:F1472)</f>
        <v>1009340.14</v>
      </c>
      <c r="G1470" s="544"/>
      <c r="H1470" s="333">
        <f t="shared" si="48"/>
        <v>0</v>
      </c>
      <c r="I1470" s="333">
        <f>SUM(I1471:I1472)</f>
        <v>0</v>
      </c>
      <c r="J1470" s="502">
        <f>I1470/F1470*100</f>
        <v>0</v>
      </c>
      <c r="K1470" s="333">
        <f t="shared" si="48"/>
        <v>0</v>
      </c>
      <c r="L1470" s="69">
        <f t="shared" si="41"/>
        <v>1009340.14</v>
      </c>
    </row>
    <row r="1471" spans="1:12" s="171" customFormat="1" ht="15" hidden="1">
      <c r="A1471" s="542"/>
      <c r="B1471" s="450"/>
      <c r="C1471" s="401"/>
      <c r="D1471" s="453"/>
      <c r="E1471" s="323" t="s">
        <v>75</v>
      </c>
      <c r="F1471" s="231">
        <v>958873.13</v>
      </c>
      <c r="G1471" s="545"/>
      <c r="H1471" s="326"/>
      <c r="I1471" s="233"/>
      <c r="J1471" s="503"/>
      <c r="K1471" s="323"/>
      <c r="L1471" s="69">
        <f t="shared" si="41"/>
        <v>958873.13</v>
      </c>
    </row>
    <row r="1472" spans="1:12" s="171" customFormat="1" ht="15" hidden="1">
      <c r="A1472" s="543"/>
      <c r="B1472" s="451"/>
      <c r="C1472" s="402"/>
      <c r="D1472" s="454"/>
      <c r="E1472" s="323" t="s">
        <v>18</v>
      </c>
      <c r="F1472" s="231">
        <v>50467.01000000001</v>
      </c>
      <c r="G1472" s="546"/>
      <c r="H1472" s="326"/>
      <c r="I1472" s="233"/>
      <c r="J1472" s="504"/>
      <c r="K1472" s="323"/>
      <c r="L1472" s="69">
        <f t="shared" si="41"/>
        <v>50467.01000000001</v>
      </c>
    </row>
    <row r="1473" spans="1:12" s="171" customFormat="1" ht="15" hidden="1">
      <c r="A1473" s="541">
        <v>30</v>
      </c>
      <c r="B1473" s="449" t="s">
        <v>475</v>
      </c>
      <c r="C1473" s="400"/>
      <c r="D1473" s="452"/>
      <c r="E1473" s="81" t="s">
        <v>34</v>
      </c>
      <c r="F1473" s="165">
        <f aca="true" t="shared" si="49" ref="F1473:K1473">SUM(F1474:F1475)</f>
        <v>4440950.06</v>
      </c>
      <c r="G1473" s="544"/>
      <c r="H1473" s="333">
        <f t="shared" si="49"/>
        <v>0</v>
      </c>
      <c r="I1473" s="333">
        <f>SUM(I1474:I1475)</f>
        <v>0</v>
      </c>
      <c r="J1473" s="502">
        <f>I1473/F1473*100</f>
        <v>0</v>
      </c>
      <c r="K1473" s="333">
        <f t="shared" si="49"/>
        <v>0</v>
      </c>
      <c r="L1473" s="69">
        <f t="shared" si="41"/>
        <v>4440950.06</v>
      </c>
    </row>
    <row r="1474" spans="1:12" s="171" customFormat="1" ht="15" hidden="1">
      <c r="A1474" s="542"/>
      <c r="B1474" s="450"/>
      <c r="C1474" s="401"/>
      <c r="D1474" s="453"/>
      <c r="E1474" s="323" t="s">
        <v>75</v>
      </c>
      <c r="F1474" s="231">
        <v>4218902</v>
      </c>
      <c r="G1474" s="545"/>
      <c r="H1474" s="326"/>
      <c r="I1474" s="233"/>
      <c r="J1474" s="503"/>
      <c r="K1474" s="323"/>
      <c r="L1474" s="69">
        <f t="shared" si="41"/>
        <v>4218902</v>
      </c>
    </row>
    <row r="1475" spans="1:12" s="171" customFormat="1" ht="15" hidden="1">
      <c r="A1475" s="543"/>
      <c r="B1475" s="451"/>
      <c r="C1475" s="402"/>
      <c r="D1475" s="454"/>
      <c r="E1475" s="323" t="s">
        <v>18</v>
      </c>
      <c r="F1475" s="231">
        <v>222048.0599999996</v>
      </c>
      <c r="G1475" s="546"/>
      <c r="H1475" s="326"/>
      <c r="I1475" s="233"/>
      <c r="J1475" s="504"/>
      <c r="K1475" s="323"/>
      <c r="L1475" s="69">
        <f t="shared" si="41"/>
        <v>222048.0599999996</v>
      </c>
    </row>
    <row r="1476" spans="1:12" s="171" customFormat="1" ht="15" hidden="1">
      <c r="A1476" s="541">
        <v>31</v>
      </c>
      <c r="B1476" s="449" t="s">
        <v>476</v>
      </c>
      <c r="C1476" s="400"/>
      <c r="D1476" s="452"/>
      <c r="E1476" s="81" t="s">
        <v>34</v>
      </c>
      <c r="F1476" s="165">
        <f aca="true" t="shared" si="50" ref="F1476:K1476">SUM(F1477:F1478)</f>
        <v>1011770.94</v>
      </c>
      <c r="G1476" s="544"/>
      <c r="H1476" s="333">
        <f t="shared" si="50"/>
        <v>0</v>
      </c>
      <c r="I1476" s="333">
        <f>SUM(I1477:I1478)</f>
        <v>0</v>
      </c>
      <c r="J1476" s="502">
        <f>I1476/F1476*100</f>
        <v>0</v>
      </c>
      <c r="K1476" s="333">
        <f t="shared" si="50"/>
        <v>0</v>
      </c>
      <c r="L1476" s="69">
        <f t="shared" si="41"/>
        <v>1011770.94</v>
      </c>
    </row>
    <row r="1477" spans="1:12" s="171" customFormat="1" ht="15" hidden="1">
      <c r="A1477" s="542"/>
      <c r="B1477" s="450"/>
      <c r="C1477" s="401"/>
      <c r="D1477" s="453"/>
      <c r="E1477" s="323" t="s">
        <v>75</v>
      </c>
      <c r="F1477" s="231">
        <v>961182.39</v>
      </c>
      <c r="G1477" s="545"/>
      <c r="H1477" s="326"/>
      <c r="I1477" s="233"/>
      <c r="J1477" s="503"/>
      <c r="K1477" s="323"/>
      <c r="L1477" s="69">
        <f t="shared" si="41"/>
        <v>961182.39</v>
      </c>
    </row>
    <row r="1478" spans="1:12" s="171" customFormat="1" ht="15" hidden="1">
      <c r="A1478" s="543"/>
      <c r="B1478" s="451"/>
      <c r="C1478" s="402"/>
      <c r="D1478" s="454"/>
      <c r="E1478" s="323" t="s">
        <v>18</v>
      </c>
      <c r="F1478" s="231">
        <v>50588.54999999993</v>
      </c>
      <c r="G1478" s="546"/>
      <c r="H1478" s="326"/>
      <c r="I1478" s="233"/>
      <c r="J1478" s="504"/>
      <c r="K1478" s="323"/>
      <c r="L1478" s="69">
        <f t="shared" si="41"/>
        <v>50588.54999999993</v>
      </c>
    </row>
    <row r="1479" spans="1:12" s="171" customFormat="1" ht="15" hidden="1">
      <c r="A1479" s="541">
        <v>32</v>
      </c>
      <c r="B1479" s="449" t="s">
        <v>477</v>
      </c>
      <c r="C1479" s="297"/>
      <c r="D1479" s="292"/>
      <c r="E1479" s="81" t="s">
        <v>34</v>
      </c>
      <c r="F1479" s="165">
        <f>SUM(F1480:F1481)</f>
        <v>1960430.76</v>
      </c>
      <c r="G1479" s="544"/>
      <c r="H1479" s="326"/>
      <c r="I1479" s="74">
        <f>SUM(I1480:I1481)</f>
        <v>0</v>
      </c>
      <c r="J1479" s="502">
        <f>I1479/F1479*100</f>
        <v>0</v>
      </c>
      <c r="K1479" s="74">
        <f>SUM(K1480:K1481)</f>
        <v>0</v>
      </c>
      <c r="L1479" s="69">
        <f t="shared" si="41"/>
        <v>1960430.76</v>
      </c>
    </row>
    <row r="1480" spans="1:12" s="171" customFormat="1" ht="15" hidden="1">
      <c r="A1480" s="542"/>
      <c r="B1480" s="450"/>
      <c r="C1480" s="297"/>
      <c r="D1480" s="292"/>
      <c r="E1480" s="323" t="s">
        <v>75</v>
      </c>
      <c r="F1480" s="231">
        <v>1862409.22</v>
      </c>
      <c r="G1480" s="545"/>
      <c r="H1480" s="326"/>
      <c r="I1480" s="245"/>
      <c r="J1480" s="503"/>
      <c r="K1480" s="323"/>
      <c r="L1480" s="69">
        <f t="shared" si="41"/>
        <v>1862409.22</v>
      </c>
    </row>
    <row r="1481" spans="1:12" s="171" customFormat="1" ht="15" hidden="1">
      <c r="A1481" s="543"/>
      <c r="B1481" s="451"/>
      <c r="C1481" s="297"/>
      <c r="D1481" s="292"/>
      <c r="E1481" s="323" t="s">
        <v>18</v>
      </c>
      <c r="F1481" s="231">
        <v>98021.54000000004</v>
      </c>
      <c r="G1481" s="546"/>
      <c r="H1481" s="326"/>
      <c r="I1481" s="245"/>
      <c r="J1481" s="504"/>
      <c r="K1481" s="323"/>
      <c r="L1481" s="69">
        <f t="shared" si="41"/>
        <v>98021.54000000004</v>
      </c>
    </row>
    <row r="1482" spans="1:12" s="171" customFormat="1" ht="15" hidden="1">
      <c r="A1482" s="541">
        <v>33</v>
      </c>
      <c r="B1482" s="449" t="s">
        <v>478</v>
      </c>
      <c r="C1482" s="400"/>
      <c r="D1482" s="452"/>
      <c r="E1482" s="81" t="s">
        <v>34</v>
      </c>
      <c r="F1482" s="165">
        <f aca="true" t="shared" si="51" ref="F1482:K1482">SUM(F1483:F1484)</f>
        <v>2143808.66</v>
      </c>
      <c r="G1482" s="544"/>
      <c r="H1482" s="333">
        <f t="shared" si="51"/>
        <v>0</v>
      </c>
      <c r="I1482" s="333">
        <f>SUM(I1483:I1484)</f>
        <v>0</v>
      </c>
      <c r="J1482" s="502">
        <f>I1482/F1482*100</f>
        <v>0</v>
      </c>
      <c r="K1482" s="333">
        <f t="shared" si="51"/>
        <v>0</v>
      </c>
      <c r="L1482" s="69">
        <f t="shared" si="41"/>
        <v>2143808.66</v>
      </c>
    </row>
    <row r="1483" spans="1:12" s="171" customFormat="1" ht="15" hidden="1">
      <c r="A1483" s="542"/>
      <c r="B1483" s="450"/>
      <c r="C1483" s="401"/>
      <c r="D1483" s="453"/>
      <c r="E1483" s="323" t="s">
        <v>75</v>
      </c>
      <c r="F1483" s="231">
        <v>2036618.22</v>
      </c>
      <c r="G1483" s="545"/>
      <c r="H1483" s="326"/>
      <c r="I1483" s="233"/>
      <c r="J1483" s="503"/>
      <c r="K1483" s="323"/>
      <c r="L1483" s="69">
        <f t="shared" si="41"/>
        <v>2036618.22</v>
      </c>
    </row>
    <row r="1484" spans="1:12" s="171" customFormat="1" ht="15" hidden="1">
      <c r="A1484" s="543"/>
      <c r="B1484" s="451"/>
      <c r="C1484" s="402"/>
      <c r="D1484" s="454"/>
      <c r="E1484" s="323" t="s">
        <v>18</v>
      </c>
      <c r="F1484" s="231">
        <v>107190.44000000018</v>
      </c>
      <c r="G1484" s="546"/>
      <c r="H1484" s="326"/>
      <c r="I1484" s="233"/>
      <c r="J1484" s="504"/>
      <c r="K1484" s="323"/>
      <c r="L1484" s="69">
        <f t="shared" si="41"/>
        <v>107190.44000000018</v>
      </c>
    </row>
    <row r="1485" spans="1:12" s="171" customFormat="1" ht="15" hidden="1">
      <c r="A1485" s="541">
        <v>34</v>
      </c>
      <c r="B1485" s="449" t="s">
        <v>479</v>
      </c>
      <c r="C1485" s="400"/>
      <c r="D1485" s="452"/>
      <c r="E1485" s="81" t="s">
        <v>34</v>
      </c>
      <c r="F1485" s="165">
        <f aca="true" t="shared" si="52" ref="F1485:K1485">SUM(F1486:F1487)</f>
        <v>10500001</v>
      </c>
      <c r="G1485" s="544"/>
      <c r="H1485" s="333">
        <f t="shared" si="52"/>
        <v>0</v>
      </c>
      <c r="I1485" s="333">
        <f>SUM(I1486:I1487)</f>
        <v>0</v>
      </c>
      <c r="J1485" s="502">
        <f>I1485/F1485*100</f>
        <v>0</v>
      </c>
      <c r="K1485" s="333">
        <f t="shared" si="52"/>
        <v>0</v>
      </c>
      <c r="L1485" s="69">
        <f t="shared" si="41"/>
        <v>10500001</v>
      </c>
    </row>
    <row r="1486" spans="1:12" s="171" customFormat="1" ht="15" hidden="1">
      <c r="A1486" s="542"/>
      <c r="B1486" s="450"/>
      <c r="C1486" s="401"/>
      <c r="D1486" s="453"/>
      <c r="E1486" s="323" t="s">
        <v>75</v>
      </c>
      <c r="F1486" s="231">
        <v>9975000.95</v>
      </c>
      <c r="G1486" s="545"/>
      <c r="H1486" s="326"/>
      <c r="I1486" s="233"/>
      <c r="J1486" s="503"/>
      <c r="K1486" s="323"/>
      <c r="L1486" s="69">
        <f t="shared" si="41"/>
        <v>9975000.95</v>
      </c>
    </row>
    <row r="1487" spans="1:12" s="171" customFormat="1" ht="15" hidden="1">
      <c r="A1487" s="543"/>
      <c r="B1487" s="451"/>
      <c r="C1487" s="402"/>
      <c r="D1487" s="454"/>
      <c r="E1487" s="323" t="s">
        <v>18</v>
      </c>
      <c r="F1487" s="231">
        <v>525000.0500000007</v>
      </c>
      <c r="G1487" s="546"/>
      <c r="H1487" s="326"/>
      <c r="I1487" s="233"/>
      <c r="J1487" s="504"/>
      <c r="K1487" s="323"/>
      <c r="L1487" s="69">
        <f t="shared" si="41"/>
        <v>525000.0500000007</v>
      </c>
    </row>
    <row r="1488" spans="1:12" s="171" customFormat="1" ht="15" hidden="1">
      <c r="A1488" s="541">
        <v>35</v>
      </c>
      <c r="B1488" s="449" t="s">
        <v>480</v>
      </c>
      <c r="C1488" s="400"/>
      <c r="D1488" s="452"/>
      <c r="E1488" s="81" t="s">
        <v>34</v>
      </c>
      <c r="F1488" s="165">
        <f aca="true" t="shared" si="53" ref="F1488:K1488">SUM(F1489:F1490)</f>
        <v>3653137.22</v>
      </c>
      <c r="G1488" s="544"/>
      <c r="H1488" s="333">
        <f t="shared" si="53"/>
        <v>0</v>
      </c>
      <c r="I1488" s="333">
        <f>SUM(I1489:I1490)</f>
        <v>0</v>
      </c>
      <c r="J1488" s="502">
        <f>I1488/F1488*100</f>
        <v>0</v>
      </c>
      <c r="K1488" s="333">
        <f t="shared" si="53"/>
        <v>0</v>
      </c>
      <c r="L1488" s="69">
        <f t="shared" si="41"/>
        <v>3653137.22</v>
      </c>
    </row>
    <row r="1489" spans="1:12" s="171" customFormat="1" ht="15" hidden="1">
      <c r="A1489" s="542"/>
      <c r="B1489" s="450"/>
      <c r="C1489" s="401"/>
      <c r="D1489" s="453"/>
      <c r="E1489" s="323" t="s">
        <v>75</v>
      </c>
      <c r="F1489" s="231">
        <v>3470480</v>
      </c>
      <c r="G1489" s="545"/>
      <c r="H1489" s="326"/>
      <c r="I1489" s="233"/>
      <c r="J1489" s="503"/>
      <c r="K1489" s="323"/>
      <c r="L1489" s="69">
        <f t="shared" si="41"/>
        <v>3470480</v>
      </c>
    </row>
    <row r="1490" spans="1:12" s="171" customFormat="1" ht="15" hidden="1">
      <c r="A1490" s="543"/>
      <c r="B1490" s="451"/>
      <c r="C1490" s="402"/>
      <c r="D1490" s="454"/>
      <c r="E1490" s="323" t="s">
        <v>18</v>
      </c>
      <c r="F1490" s="231">
        <v>182657.2200000002</v>
      </c>
      <c r="G1490" s="546"/>
      <c r="H1490" s="326"/>
      <c r="I1490" s="233"/>
      <c r="J1490" s="504"/>
      <c r="K1490" s="323"/>
      <c r="L1490" s="69">
        <f t="shared" si="41"/>
        <v>182657.2200000002</v>
      </c>
    </row>
    <row r="1491" spans="1:12" s="171" customFormat="1" ht="15" hidden="1">
      <c r="A1491" s="541">
        <v>36</v>
      </c>
      <c r="B1491" s="449" t="s">
        <v>481</v>
      </c>
      <c r="C1491" s="400"/>
      <c r="D1491" s="452"/>
      <c r="E1491" s="81" t="s">
        <v>34</v>
      </c>
      <c r="F1491" s="165">
        <f aca="true" t="shared" si="54" ref="F1491:K1491">SUM(F1492:F1493)</f>
        <v>6346814.08</v>
      </c>
      <c r="G1491" s="544"/>
      <c r="H1491" s="333">
        <f t="shared" si="54"/>
        <v>0</v>
      </c>
      <c r="I1491" s="333">
        <f>SUM(I1492:I1493)</f>
        <v>0</v>
      </c>
      <c r="J1491" s="502">
        <f>I1491/F1491*100</f>
        <v>0</v>
      </c>
      <c r="K1491" s="333">
        <f t="shared" si="54"/>
        <v>0</v>
      </c>
      <c r="L1491" s="69">
        <f t="shared" si="41"/>
        <v>6346814.08</v>
      </c>
    </row>
    <row r="1492" spans="1:12" s="171" customFormat="1" ht="15" hidden="1">
      <c r="A1492" s="542"/>
      <c r="B1492" s="450"/>
      <c r="C1492" s="401"/>
      <c r="D1492" s="453"/>
      <c r="E1492" s="323" t="s">
        <v>75</v>
      </c>
      <c r="F1492" s="231">
        <v>6029473</v>
      </c>
      <c r="G1492" s="545"/>
      <c r="H1492" s="326"/>
      <c r="I1492" s="233"/>
      <c r="J1492" s="503"/>
      <c r="K1492" s="323"/>
      <c r="L1492" s="69">
        <f t="shared" si="41"/>
        <v>6029473</v>
      </c>
    </row>
    <row r="1493" spans="1:12" s="171" customFormat="1" ht="15" hidden="1">
      <c r="A1493" s="543"/>
      <c r="B1493" s="451"/>
      <c r="C1493" s="402"/>
      <c r="D1493" s="454"/>
      <c r="E1493" s="323" t="s">
        <v>18</v>
      </c>
      <c r="F1493" s="231">
        <v>317341.0800000001</v>
      </c>
      <c r="G1493" s="546"/>
      <c r="H1493" s="326"/>
      <c r="I1493" s="233"/>
      <c r="J1493" s="504"/>
      <c r="K1493" s="323"/>
      <c r="L1493" s="69">
        <f t="shared" si="41"/>
        <v>317341.0800000001</v>
      </c>
    </row>
    <row r="1494" spans="1:12" s="171" customFormat="1" ht="15" hidden="1">
      <c r="A1494" s="541">
        <v>37</v>
      </c>
      <c r="B1494" s="449" t="s">
        <v>482</v>
      </c>
      <c r="C1494" s="400"/>
      <c r="D1494" s="452"/>
      <c r="E1494" s="81" t="s">
        <v>34</v>
      </c>
      <c r="F1494" s="165">
        <f aca="true" t="shared" si="55" ref="F1494:K1494">SUM(F1495:F1496)</f>
        <v>1136194.9</v>
      </c>
      <c r="G1494" s="544"/>
      <c r="H1494" s="333">
        <f t="shared" si="55"/>
        <v>0</v>
      </c>
      <c r="I1494" s="333">
        <f>SUM(I1495:I1496)</f>
        <v>0</v>
      </c>
      <c r="J1494" s="502">
        <f>I1494/F1494*100</f>
        <v>0</v>
      </c>
      <c r="K1494" s="333">
        <f t="shared" si="55"/>
        <v>0</v>
      </c>
      <c r="L1494" s="69">
        <f t="shared" si="41"/>
        <v>1136194.9</v>
      </c>
    </row>
    <row r="1495" spans="1:12" s="171" customFormat="1" ht="15" hidden="1">
      <c r="A1495" s="542"/>
      <c r="B1495" s="450"/>
      <c r="C1495" s="401"/>
      <c r="D1495" s="453"/>
      <c r="E1495" s="323" t="s">
        <v>75</v>
      </c>
      <c r="F1495" s="231">
        <v>1000195</v>
      </c>
      <c r="G1495" s="545"/>
      <c r="H1495" s="326"/>
      <c r="I1495" s="233"/>
      <c r="J1495" s="503"/>
      <c r="K1495" s="323"/>
      <c r="L1495" s="69">
        <f t="shared" si="41"/>
        <v>1000195</v>
      </c>
    </row>
    <row r="1496" spans="1:12" s="171" customFormat="1" ht="15" hidden="1">
      <c r="A1496" s="543"/>
      <c r="B1496" s="451"/>
      <c r="C1496" s="402"/>
      <c r="D1496" s="454"/>
      <c r="E1496" s="323" t="s">
        <v>18</v>
      </c>
      <c r="F1496" s="231">
        <v>135999.8999999999</v>
      </c>
      <c r="G1496" s="546"/>
      <c r="H1496" s="326"/>
      <c r="I1496" s="233"/>
      <c r="J1496" s="504"/>
      <c r="K1496" s="323"/>
      <c r="L1496" s="69">
        <f t="shared" si="41"/>
        <v>135999.8999999999</v>
      </c>
    </row>
    <row r="1497" spans="1:12" s="171" customFormat="1" ht="15" hidden="1">
      <c r="A1497" s="541">
        <v>38</v>
      </c>
      <c r="B1497" s="449" t="s">
        <v>483</v>
      </c>
      <c r="C1497" s="400"/>
      <c r="D1497" s="452"/>
      <c r="E1497" s="81" t="s">
        <v>34</v>
      </c>
      <c r="F1497" s="165">
        <f aca="true" t="shared" si="56" ref="F1497:K1497">SUM(F1498:F1499)</f>
        <v>1001602.9</v>
      </c>
      <c r="G1497" s="544"/>
      <c r="H1497" s="333">
        <f t="shared" si="56"/>
        <v>0</v>
      </c>
      <c r="I1497" s="333">
        <f>SUM(I1498:I1499)</f>
        <v>0</v>
      </c>
      <c r="J1497" s="502">
        <f>I1497/F1497*100</f>
        <v>0</v>
      </c>
      <c r="K1497" s="333">
        <f t="shared" si="56"/>
        <v>0</v>
      </c>
      <c r="L1497" s="69">
        <f t="shared" si="41"/>
        <v>1001602.9</v>
      </c>
    </row>
    <row r="1498" spans="1:12" s="171" customFormat="1" ht="15" hidden="1">
      <c r="A1498" s="542"/>
      <c r="B1498" s="450"/>
      <c r="C1498" s="401"/>
      <c r="D1498" s="453"/>
      <c r="E1498" s="323" t="s">
        <v>75</v>
      </c>
      <c r="F1498" s="231">
        <v>951522.75</v>
      </c>
      <c r="G1498" s="545"/>
      <c r="H1498" s="326"/>
      <c r="I1498" s="233"/>
      <c r="J1498" s="503"/>
      <c r="K1498" s="323"/>
      <c r="L1498" s="69">
        <f t="shared" si="41"/>
        <v>951522.75</v>
      </c>
    </row>
    <row r="1499" spans="1:12" s="171" customFormat="1" ht="15" hidden="1">
      <c r="A1499" s="543"/>
      <c r="B1499" s="451"/>
      <c r="C1499" s="402"/>
      <c r="D1499" s="454"/>
      <c r="E1499" s="323" t="s">
        <v>18</v>
      </c>
      <c r="F1499" s="231">
        <v>50080.15000000002</v>
      </c>
      <c r="G1499" s="546"/>
      <c r="H1499" s="326"/>
      <c r="I1499" s="233"/>
      <c r="J1499" s="504"/>
      <c r="K1499" s="323"/>
      <c r="L1499" s="69">
        <f t="shared" si="41"/>
        <v>50080.15000000002</v>
      </c>
    </row>
    <row r="1500" spans="1:12" s="171" customFormat="1" ht="15" hidden="1">
      <c r="A1500" s="541">
        <v>39</v>
      </c>
      <c r="B1500" s="449" t="s">
        <v>484</v>
      </c>
      <c r="C1500" s="400"/>
      <c r="D1500" s="452"/>
      <c r="E1500" s="81" t="s">
        <v>34</v>
      </c>
      <c r="F1500" s="165">
        <f aca="true" t="shared" si="57" ref="F1500:K1500">SUM(F1501:F1502)</f>
        <v>504013.4</v>
      </c>
      <c r="G1500" s="544"/>
      <c r="H1500" s="333">
        <f t="shared" si="57"/>
        <v>0</v>
      </c>
      <c r="I1500" s="333">
        <f>SUM(I1501:I1502)</f>
        <v>0</v>
      </c>
      <c r="J1500" s="502">
        <f>I1500/F1500*100</f>
        <v>0</v>
      </c>
      <c r="K1500" s="333">
        <f t="shared" si="57"/>
        <v>0</v>
      </c>
      <c r="L1500" s="69">
        <f t="shared" si="41"/>
        <v>504013.4</v>
      </c>
    </row>
    <row r="1501" spans="1:12" s="171" customFormat="1" ht="15" hidden="1">
      <c r="A1501" s="542"/>
      <c r="B1501" s="450"/>
      <c r="C1501" s="401"/>
      <c r="D1501" s="453"/>
      <c r="E1501" s="323" t="s">
        <v>75</v>
      </c>
      <c r="F1501" s="231">
        <v>300000</v>
      </c>
      <c r="G1501" s="545"/>
      <c r="H1501" s="326"/>
      <c r="I1501" s="233"/>
      <c r="J1501" s="503"/>
      <c r="K1501" s="323"/>
      <c r="L1501" s="69">
        <f t="shared" si="41"/>
        <v>300000</v>
      </c>
    </row>
    <row r="1502" spans="1:12" s="171" customFormat="1" ht="15" hidden="1">
      <c r="A1502" s="543"/>
      <c r="B1502" s="451"/>
      <c r="C1502" s="402"/>
      <c r="D1502" s="454"/>
      <c r="E1502" s="323" t="s">
        <v>18</v>
      </c>
      <c r="F1502" s="231">
        <v>204013.40000000002</v>
      </c>
      <c r="G1502" s="546"/>
      <c r="H1502" s="326"/>
      <c r="I1502" s="233"/>
      <c r="J1502" s="504"/>
      <c r="K1502" s="323"/>
      <c r="L1502" s="69">
        <f t="shared" si="41"/>
        <v>204013.40000000002</v>
      </c>
    </row>
    <row r="1503" spans="1:12" s="171" customFormat="1" ht="15" hidden="1">
      <c r="A1503" s="541">
        <v>40</v>
      </c>
      <c r="B1503" s="449" t="s">
        <v>485</v>
      </c>
      <c r="C1503" s="400"/>
      <c r="D1503" s="452"/>
      <c r="E1503" s="81" t="s">
        <v>34</v>
      </c>
      <c r="F1503" s="165">
        <f aca="true" t="shared" si="58" ref="F1503:K1503">SUM(F1504:F1505)</f>
        <v>1785265.7</v>
      </c>
      <c r="G1503" s="544"/>
      <c r="H1503" s="333">
        <f t="shared" si="58"/>
        <v>0</v>
      </c>
      <c r="I1503" s="333">
        <f>SUM(I1504:I1505)</f>
        <v>0</v>
      </c>
      <c r="J1503" s="502">
        <f>I1503/F1503*100</f>
        <v>0</v>
      </c>
      <c r="K1503" s="333">
        <f t="shared" si="58"/>
        <v>0</v>
      </c>
      <c r="L1503" s="69">
        <f t="shared" si="41"/>
        <v>1785265.7</v>
      </c>
    </row>
    <row r="1504" spans="1:12" s="171" customFormat="1" ht="15" hidden="1">
      <c r="A1504" s="542"/>
      <c r="B1504" s="450"/>
      <c r="C1504" s="401"/>
      <c r="D1504" s="453"/>
      <c r="E1504" s="323" t="s">
        <v>75</v>
      </c>
      <c r="F1504" s="231">
        <v>1205265.7</v>
      </c>
      <c r="G1504" s="545"/>
      <c r="H1504" s="326"/>
      <c r="I1504" s="233"/>
      <c r="J1504" s="503"/>
      <c r="K1504" s="323"/>
      <c r="L1504" s="69">
        <f t="shared" si="41"/>
        <v>1205265.7</v>
      </c>
    </row>
    <row r="1505" spans="1:12" s="171" customFormat="1" ht="15" hidden="1">
      <c r="A1505" s="543"/>
      <c r="B1505" s="451"/>
      <c r="C1505" s="402"/>
      <c r="D1505" s="454"/>
      <c r="E1505" s="323" t="s">
        <v>18</v>
      </c>
      <c r="F1505" s="231">
        <v>580000</v>
      </c>
      <c r="G1505" s="546"/>
      <c r="H1505" s="326"/>
      <c r="I1505" s="233"/>
      <c r="J1505" s="504"/>
      <c r="K1505" s="323"/>
      <c r="L1505" s="69">
        <f t="shared" si="41"/>
        <v>580000</v>
      </c>
    </row>
    <row r="1506" spans="1:12" s="171" customFormat="1" ht="15" hidden="1">
      <c r="A1506" s="541">
        <v>41</v>
      </c>
      <c r="B1506" s="449" t="s">
        <v>486</v>
      </c>
      <c r="C1506" s="400"/>
      <c r="D1506" s="452"/>
      <c r="E1506" s="81" t="s">
        <v>34</v>
      </c>
      <c r="F1506" s="165">
        <f aca="true" t="shared" si="59" ref="F1506:K1506">SUM(F1507:F1508)</f>
        <v>2336685.6</v>
      </c>
      <c r="G1506" s="544"/>
      <c r="H1506" s="333">
        <f t="shared" si="59"/>
        <v>0</v>
      </c>
      <c r="I1506" s="333">
        <f>SUM(I1507:I1508)</f>
        <v>0</v>
      </c>
      <c r="J1506" s="502">
        <f>I1506/F1506*100</f>
        <v>0</v>
      </c>
      <c r="K1506" s="333">
        <f t="shared" si="59"/>
        <v>0</v>
      </c>
      <c r="L1506" s="69">
        <f t="shared" si="41"/>
        <v>2336685.6</v>
      </c>
    </row>
    <row r="1507" spans="1:12" s="171" customFormat="1" ht="15" hidden="1">
      <c r="A1507" s="542"/>
      <c r="B1507" s="450"/>
      <c r="C1507" s="401"/>
      <c r="D1507" s="453"/>
      <c r="E1507" s="323" t="s">
        <v>75</v>
      </c>
      <c r="F1507" s="231">
        <v>2219851.32</v>
      </c>
      <c r="G1507" s="545"/>
      <c r="H1507" s="326"/>
      <c r="I1507" s="233"/>
      <c r="J1507" s="503"/>
      <c r="K1507" s="323"/>
      <c r="L1507" s="69">
        <f t="shared" si="41"/>
        <v>2219851.32</v>
      </c>
    </row>
    <row r="1508" spans="1:12" s="171" customFormat="1" ht="15" hidden="1">
      <c r="A1508" s="543"/>
      <c r="B1508" s="451"/>
      <c r="C1508" s="402"/>
      <c r="D1508" s="454"/>
      <c r="E1508" s="323" t="s">
        <v>18</v>
      </c>
      <c r="F1508" s="231">
        <v>116834.28000000026</v>
      </c>
      <c r="G1508" s="546"/>
      <c r="H1508" s="326"/>
      <c r="I1508" s="233"/>
      <c r="J1508" s="504"/>
      <c r="K1508" s="323"/>
      <c r="L1508" s="69">
        <f t="shared" si="41"/>
        <v>116834.28000000026</v>
      </c>
    </row>
    <row r="1509" spans="1:12" s="171" customFormat="1" ht="15" hidden="1">
      <c r="A1509" s="541">
        <v>42</v>
      </c>
      <c r="B1509" s="449" t="s">
        <v>487</v>
      </c>
      <c r="C1509" s="400"/>
      <c r="D1509" s="452"/>
      <c r="E1509" s="81" t="s">
        <v>34</v>
      </c>
      <c r="F1509" s="165">
        <f aca="true" t="shared" si="60" ref="F1509:K1509">SUM(F1510:F1511)</f>
        <v>1400055.8</v>
      </c>
      <c r="G1509" s="544"/>
      <c r="H1509" s="333">
        <f t="shared" si="60"/>
        <v>0</v>
      </c>
      <c r="I1509" s="333">
        <f>SUM(I1510:I1511)</f>
        <v>0</v>
      </c>
      <c r="J1509" s="502">
        <f>I1509/F1509*100</f>
        <v>0</v>
      </c>
      <c r="K1509" s="333">
        <f t="shared" si="60"/>
        <v>0</v>
      </c>
      <c r="L1509" s="69">
        <f t="shared" si="41"/>
        <v>1400055.8</v>
      </c>
    </row>
    <row r="1510" spans="1:12" s="171" customFormat="1" ht="15" hidden="1">
      <c r="A1510" s="542"/>
      <c r="B1510" s="450"/>
      <c r="C1510" s="401"/>
      <c r="D1510" s="453"/>
      <c r="E1510" s="323" t="s">
        <v>75</v>
      </c>
      <c r="F1510" s="231">
        <v>1000055.8</v>
      </c>
      <c r="G1510" s="545"/>
      <c r="H1510" s="326"/>
      <c r="I1510" s="233"/>
      <c r="J1510" s="503"/>
      <c r="K1510" s="323"/>
      <c r="L1510" s="69">
        <f t="shared" si="41"/>
        <v>1000055.8</v>
      </c>
    </row>
    <row r="1511" spans="1:12" s="171" customFormat="1" ht="15" hidden="1">
      <c r="A1511" s="543"/>
      <c r="B1511" s="451"/>
      <c r="C1511" s="402"/>
      <c r="D1511" s="454"/>
      <c r="E1511" s="323" t="s">
        <v>18</v>
      </c>
      <c r="F1511" s="231">
        <v>400000</v>
      </c>
      <c r="G1511" s="546"/>
      <c r="H1511" s="326"/>
      <c r="I1511" s="233"/>
      <c r="J1511" s="504"/>
      <c r="K1511" s="323"/>
      <c r="L1511" s="69">
        <f t="shared" si="41"/>
        <v>400000</v>
      </c>
    </row>
    <row r="1512" spans="1:12" s="171" customFormat="1" ht="15" hidden="1">
      <c r="A1512" s="541">
        <v>43</v>
      </c>
      <c r="B1512" s="449" t="s">
        <v>488</v>
      </c>
      <c r="C1512" s="400"/>
      <c r="D1512" s="452"/>
      <c r="E1512" s="81" t="s">
        <v>34</v>
      </c>
      <c r="F1512" s="165">
        <f aca="true" t="shared" si="61" ref="F1512:K1512">SUM(F1513:F1514)</f>
        <v>1108331.52</v>
      </c>
      <c r="G1512" s="544"/>
      <c r="H1512" s="333">
        <f t="shared" si="61"/>
        <v>0</v>
      </c>
      <c r="I1512" s="74">
        <f>SUM(I1513:I1514)</f>
        <v>0</v>
      </c>
      <c r="J1512" s="502">
        <f>I1512/F1512*100</f>
        <v>0</v>
      </c>
      <c r="K1512" s="333">
        <f t="shared" si="61"/>
        <v>0</v>
      </c>
      <c r="L1512" s="69">
        <f t="shared" si="41"/>
        <v>1108331.52</v>
      </c>
    </row>
    <row r="1513" spans="1:12" s="171" customFormat="1" ht="15" hidden="1">
      <c r="A1513" s="542"/>
      <c r="B1513" s="450"/>
      <c r="C1513" s="401"/>
      <c r="D1513" s="453"/>
      <c r="E1513" s="323" t="s">
        <v>75</v>
      </c>
      <c r="F1513" s="231">
        <v>1000331.52</v>
      </c>
      <c r="G1513" s="545"/>
      <c r="H1513" s="326"/>
      <c r="I1513" s="245"/>
      <c r="J1513" s="503"/>
      <c r="K1513" s="323"/>
      <c r="L1513" s="69">
        <f t="shared" si="41"/>
        <v>1000331.52</v>
      </c>
    </row>
    <row r="1514" spans="1:12" s="171" customFormat="1" ht="15" hidden="1">
      <c r="A1514" s="543"/>
      <c r="B1514" s="451"/>
      <c r="C1514" s="402"/>
      <c r="D1514" s="454"/>
      <c r="E1514" s="323" t="s">
        <v>18</v>
      </c>
      <c r="F1514" s="231">
        <v>108000</v>
      </c>
      <c r="G1514" s="546"/>
      <c r="H1514" s="326"/>
      <c r="I1514" s="245"/>
      <c r="J1514" s="504"/>
      <c r="K1514" s="323"/>
      <c r="L1514" s="69">
        <f aca="true" t="shared" si="62" ref="L1514:L1577">F1514-K1514</f>
        <v>108000</v>
      </c>
    </row>
    <row r="1515" spans="1:12" s="171" customFormat="1" ht="15" hidden="1">
      <c r="A1515" s="541">
        <v>44</v>
      </c>
      <c r="B1515" s="449" t="s">
        <v>489</v>
      </c>
      <c r="C1515" s="400"/>
      <c r="D1515" s="452"/>
      <c r="E1515" s="81" t="s">
        <v>34</v>
      </c>
      <c r="F1515" s="165">
        <f aca="true" t="shared" si="63" ref="F1515:K1515">SUM(F1516:F1517)</f>
        <v>1000170.4</v>
      </c>
      <c r="G1515" s="544"/>
      <c r="H1515" s="333">
        <f t="shared" si="63"/>
        <v>0</v>
      </c>
      <c r="I1515" s="333">
        <f>SUM(I1516:I1517)</f>
        <v>0</v>
      </c>
      <c r="J1515" s="502">
        <f>I1515/F1515*100</f>
        <v>0</v>
      </c>
      <c r="K1515" s="333">
        <f t="shared" si="63"/>
        <v>0</v>
      </c>
      <c r="L1515" s="69">
        <f t="shared" si="62"/>
        <v>1000170.4</v>
      </c>
    </row>
    <row r="1516" spans="1:12" s="171" customFormat="1" ht="15" hidden="1">
      <c r="A1516" s="542"/>
      <c r="B1516" s="450"/>
      <c r="C1516" s="401"/>
      <c r="D1516" s="453"/>
      <c r="E1516" s="323" t="s">
        <v>75</v>
      </c>
      <c r="F1516" s="231">
        <v>950161.88</v>
      </c>
      <c r="G1516" s="545"/>
      <c r="H1516" s="326"/>
      <c r="I1516" s="233"/>
      <c r="J1516" s="503"/>
      <c r="K1516" s="323"/>
      <c r="L1516" s="69">
        <f t="shared" si="62"/>
        <v>950161.88</v>
      </c>
    </row>
    <row r="1517" spans="1:12" s="171" customFormat="1" ht="15" hidden="1">
      <c r="A1517" s="543"/>
      <c r="B1517" s="451"/>
      <c r="C1517" s="402"/>
      <c r="D1517" s="454"/>
      <c r="E1517" s="323" t="s">
        <v>18</v>
      </c>
      <c r="F1517" s="231">
        <v>50008.52000000002</v>
      </c>
      <c r="G1517" s="546"/>
      <c r="H1517" s="326"/>
      <c r="I1517" s="233"/>
      <c r="J1517" s="504"/>
      <c r="K1517" s="323"/>
      <c r="L1517" s="69">
        <f t="shared" si="62"/>
        <v>50008.52000000002</v>
      </c>
    </row>
    <row r="1518" spans="1:12" s="171" customFormat="1" ht="15" hidden="1">
      <c r="A1518" s="541">
        <v>45</v>
      </c>
      <c r="B1518" s="449" t="s">
        <v>490</v>
      </c>
      <c r="C1518" s="400"/>
      <c r="D1518" s="452"/>
      <c r="E1518" s="81" t="s">
        <v>34</v>
      </c>
      <c r="F1518" s="272">
        <f aca="true" t="shared" si="64" ref="F1518:K1518">SUM(F1519:F1520)</f>
        <v>1365186.84</v>
      </c>
      <c r="G1518" s="544"/>
      <c r="H1518" s="333">
        <f t="shared" si="64"/>
        <v>0</v>
      </c>
      <c r="I1518" s="333">
        <f>SUM(I1519:I1520)</f>
        <v>0</v>
      </c>
      <c r="J1518" s="502">
        <f>I1518/F1518*100</f>
        <v>0</v>
      </c>
      <c r="K1518" s="333">
        <f t="shared" si="64"/>
        <v>0</v>
      </c>
      <c r="L1518" s="69">
        <f t="shared" si="62"/>
        <v>1365186.84</v>
      </c>
    </row>
    <row r="1519" spans="1:12" s="171" customFormat="1" ht="15" hidden="1">
      <c r="A1519" s="542"/>
      <c r="B1519" s="450"/>
      <c r="C1519" s="401"/>
      <c r="D1519" s="453"/>
      <c r="E1519" s="323" t="s">
        <v>75</v>
      </c>
      <c r="F1519" s="231">
        <v>1296927.49</v>
      </c>
      <c r="G1519" s="545"/>
      <c r="H1519" s="326"/>
      <c r="I1519" s="233"/>
      <c r="J1519" s="503"/>
      <c r="K1519" s="323"/>
      <c r="L1519" s="69">
        <f t="shared" si="62"/>
        <v>1296927.49</v>
      </c>
    </row>
    <row r="1520" spans="1:12" s="171" customFormat="1" ht="15" hidden="1">
      <c r="A1520" s="543"/>
      <c r="B1520" s="451"/>
      <c r="C1520" s="402"/>
      <c r="D1520" s="454"/>
      <c r="E1520" s="323" t="s">
        <v>18</v>
      </c>
      <c r="F1520" s="231">
        <v>68259.3500000001</v>
      </c>
      <c r="G1520" s="546"/>
      <c r="H1520" s="326"/>
      <c r="I1520" s="233"/>
      <c r="J1520" s="504"/>
      <c r="K1520" s="323"/>
      <c r="L1520" s="69">
        <f t="shared" si="62"/>
        <v>68259.3500000001</v>
      </c>
    </row>
    <row r="1521" spans="1:12" s="171" customFormat="1" ht="15" hidden="1">
      <c r="A1521" s="541">
        <v>46</v>
      </c>
      <c r="B1521" s="449" t="s">
        <v>491</v>
      </c>
      <c r="C1521" s="400"/>
      <c r="D1521" s="452"/>
      <c r="E1521" s="81" t="s">
        <v>34</v>
      </c>
      <c r="F1521" s="165">
        <f aca="true" t="shared" si="65" ref="F1521:K1521">SUM(F1522:F1523)</f>
        <v>740013.4</v>
      </c>
      <c r="G1521" s="544"/>
      <c r="H1521" s="333">
        <f t="shared" si="65"/>
        <v>0</v>
      </c>
      <c r="I1521" s="333">
        <f>SUM(I1522:I1523)</f>
        <v>0</v>
      </c>
      <c r="J1521" s="502">
        <f>I1521/F1521*100</f>
        <v>0</v>
      </c>
      <c r="K1521" s="333">
        <f t="shared" si="65"/>
        <v>0</v>
      </c>
      <c r="L1521" s="69">
        <f t="shared" si="62"/>
        <v>740013.4</v>
      </c>
    </row>
    <row r="1522" spans="1:12" s="171" customFormat="1" ht="15" hidden="1">
      <c r="A1522" s="542"/>
      <c r="B1522" s="450"/>
      <c r="C1522" s="401"/>
      <c r="D1522" s="453"/>
      <c r="E1522" s="323" t="s">
        <v>75</v>
      </c>
      <c r="F1522" s="231">
        <v>703012</v>
      </c>
      <c r="G1522" s="545"/>
      <c r="H1522" s="326"/>
      <c r="I1522" s="233"/>
      <c r="J1522" s="503"/>
      <c r="K1522" s="323"/>
      <c r="L1522" s="69">
        <f t="shared" si="62"/>
        <v>703012</v>
      </c>
    </row>
    <row r="1523" spans="1:12" s="171" customFormat="1" ht="15" hidden="1">
      <c r="A1523" s="543"/>
      <c r="B1523" s="451"/>
      <c r="C1523" s="402"/>
      <c r="D1523" s="454"/>
      <c r="E1523" s="323" t="s">
        <v>18</v>
      </c>
      <c r="F1523" s="231">
        <v>37001.40000000002</v>
      </c>
      <c r="G1523" s="546"/>
      <c r="H1523" s="326"/>
      <c r="I1523" s="233"/>
      <c r="J1523" s="504"/>
      <c r="K1523" s="323"/>
      <c r="L1523" s="69">
        <f t="shared" si="62"/>
        <v>37001.40000000002</v>
      </c>
    </row>
    <row r="1524" spans="1:12" s="171" customFormat="1" ht="22.5" customHeight="1" hidden="1">
      <c r="A1524" s="541">
        <v>47</v>
      </c>
      <c r="B1524" s="449" t="s">
        <v>492</v>
      </c>
      <c r="C1524" s="400"/>
      <c r="D1524" s="452"/>
      <c r="E1524" s="81" t="s">
        <v>34</v>
      </c>
      <c r="F1524" s="165">
        <f aca="true" t="shared" si="66" ref="F1524:K1524">SUM(F1525:F1526)</f>
        <v>9999998.5</v>
      </c>
      <c r="G1524" s="544"/>
      <c r="H1524" s="333">
        <f t="shared" si="66"/>
        <v>0</v>
      </c>
      <c r="I1524" s="333">
        <f>SUM(I1525:I1526)</f>
        <v>0</v>
      </c>
      <c r="J1524" s="502">
        <f>I1524/F1524*100</f>
        <v>0</v>
      </c>
      <c r="K1524" s="333">
        <f t="shared" si="66"/>
        <v>0</v>
      </c>
      <c r="L1524" s="69">
        <f t="shared" si="62"/>
        <v>9999998.5</v>
      </c>
    </row>
    <row r="1525" spans="1:12" s="171" customFormat="1" ht="30" customHeight="1" hidden="1">
      <c r="A1525" s="542"/>
      <c r="B1525" s="450"/>
      <c r="C1525" s="401"/>
      <c r="D1525" s="453"/>
      <c r="E1525" s="323" t="s">
        <v>75</v>
      </c>
      <c r="F1525" s="237">
        <v>9499998.57</v>
      </c>
      <c r="G1525" s="545"/>
      <c r="H1525" s="326"/>
      <c r="I1525" s="247"/>
      <c r="J1525" s="503"/>
      <c r="K1525" s="323"/>
      <c r="L1525" s="69">
        <f t="shared" si="62"/>
        <v>9499998.57</v>
      </c>
    </row>
    <row r="1526" spans="1:12" s="171" customFormat="1" ht="25.5" customHeight="1" hidden="1">
      <c r="A1526" s="543"/>
      <c r="B1526" s="451"/>
      <c r="C1526" s="402"/>
      <c r="D1526" s="454"/>
      <c r="E1526" s="323" t="s">
        <v>18</v>
      </c>
      <c r="F1526" s="237">
        <v>499999.9299999997</v>
      </c>
      <c r="G1526" s="546"/>
      <c r="H1526" s="326"/>
      <c r="I1526" s="247"/>
      <c r="J1526" s="504"/>
      <c r="K1526" s="323"/>
      <c r="L1526" s="69">
        <f t="shared" si="62"/>
        <v>499999.9299999997</v>
      </c>
    </row>
    <row r="1527" spans="1:12" s="171" customFormat="1" ht="15" hidden="1">
      <c r="A1527" s="541">
        <v>48</v>
      </c>
      <c r="B1527" s="449" t="s">
        <v>493</v>
      </c>
      <c r="C1527" s="400"/>
      <c r="D1527" s="452"/>
      <c r="E1527" s="81" t="s">
        <v>34</v>
      </c>
      <c r="F1527" s="165">
        <f aca="true" t="shared" si="67" ref="F1527:K1527">SUM(F1528:F1529)</f>
        <v>1085594.1</v>
      </c>
      <c r="G1527" s="544"/>
      <c r="H1527" s="333">
        <f t="shared" si="67"/>
        <v>0</v>
      </c>
      <c r="I1527" s="333">
        <f>SUM(I1528:I1529)</f>
        <v>0</v>
      </c>
      <c r="J1527" s="502">
        <f>I1527/F1527*100</f>
        <v>0</v>
      </c>
      <c r="K1527" s="333">
        <f t="shared" si="67"/>
        <v>0</v>
      </c>
      <c r="L1527" s="69">
        <f t="shared" si="62"/>
        <v>1085594.1</v>
      </c>
    </row>
    <row r="1528" spans="1:12" s="171" customFormat="1" ht="15" hidden="1">
      <c r="A1528" s="542"/>
      <c r="B1528" s="450"/>
      <c r="C1528" s="401"/>
      <c r="D1528" s="453"/>
      <c r="E1528" s="323" t="s">
        <v>75</v>
      </c>
      <c r="F1528" s="231">
        <v>1000000</v>
      </c>
      <c r="G1528" s="545"/>
      <c r="H1528" s="326"/>
      <c r="I1528" s="233"/>
      <c r="J1528" s="503"/>
      <c r="K1528" s="323"/>
      <c r="L1528" s="69">
        <f t="shared" si="62"/>
        <v>1000000</v>
      </c>
    </row>
    <row r="1529" spans="1:12" s="171" customFormat="1" ht="15" hidden="1">
      <c r="A1529" s="543"/>
      <c r="B1529" s="451"/>
      <c r="C1529" s="402"/>
      <c r="D1529" s="454"/>
      <c r="E1529" s="323" t="s">
        <v>18</v>
      </c>
      <c r="F1529" s="231">
        <v>85594.1000000001</v>
      </c>
      <c r="G1529" s="546"/>
      <c r="H1529" s="326"/>
      <c r="I1529" s="233"/>
      <c r="J1529" s="504"/>
      <c r="K1529" s="323"/>
      <c r="L1529" s="69">
        <f t="shared" si="62"/>
        <v>85594.1000000001</v>
      </c>
    </row>
    <row r="1530" spans="1:12" s="171" customFormat="1" ht="15" hidden="1">
      <c r="A1530" s="541">
        <v>49</v>
      </c>
      <c r="B1530" s="449" t="s">
        <v>494</v>
      </c>
      <c r="C1530" s="400"/>
      <c r="D1530" s="452"/>
      <c r="E1530" s="81" t="s">
        <v>34</v>
      </c>
      <c r="F1530" s="165">
        <f aca="true" t="shared" si="68" ref="F1530:K1530">SUM(F1531:F1532)</f>
        <v>1053794.28</v>
      </c>
      <c r="G1530" s="544"/>
      <c r="H1530" s="333">
        <f t="shared" si="68"/>
        <v>0</v>
      </c>
      <c r="I1530" s="333">
        <f>SUM(I1531:I1532)</f>
        <v>0</v>
      </c>
      <c r="J1530" s="502">
        <f>I1530/F1530*100</f>
        <v>0</v>
      </c>
      <c r="K1530" s="333">
        <f t="shared" si="68"/>
        <v>0</v>
      </c>
      <c r="L1530" s="69">
        <f t="shared" si="62"/>
        <v>1053794.28</v>
      </c>
    </row>
    <row r="1531" spans="1:12" s="171" customFormat="1" ht="15" hidden="1">
      <c r="A1531" s="542"/>
      <c r="B1531" s="450"/>
      <c r="C1531" s="401"/>
      <c r="D1531" s="453"/>
      <c r="E1531" s="323" t="s">
        <v>75</v>
      </c>
      <c r="F1531" s="231">
        <v>1000000</v>
      </c>
      <c r="G1531" s="545"/>
      <c r="H1531" s="326"/>
      <c r="I1531" s="233"/>
      <c r="J1531" s="503"/>
      <c r="K1531" s="323"/>
      <c r="L1531" s="69">
        <f t="shared" si="62"/>
        <v>1000000</v>
      </c>
    </row>
    <row r="1532" spans="1:12" s="171" customFormat="1" ht="15" hidden="1">
      <c r="A1532" s="543"/>
      <c r="B1532" s="451"/>
      <c r="C1532" s="402"/>
      <c r="D1532" s="454"/>
      <c r="E1532" s="323" t="s">
        <v>18</v>
      </c>
      <c r="F1532" s="231">
        <v>53794.28000000003</v>
      </c>
      <c r="G1532" s="546"/>
      <c r="H1532" s="326"/>
      <c r="I1532" s="233"/>
      <c r="J1532" s="504"/>
      <c r="K1532" s="323"/>
      <c r="L1532" s="69">
        <f t="shared" si="62"/>
        <v>53794.28000000003</v>
      </c>
    </row>
    <row r="1533" spans="1:12" s="171" customFormat="1" ht="15" hidden="1">
      <c r="A1533" s="541">
        <v>50</v>
      </c>
      <c r="B1533" s="449" t="s">
        <v>495</v>
      </c>
      <c r="C1533" s="400"/>
      <c r="D1533" s="452"/>
      <c r="E1533" s="81" t="s">
        <v>34</v>
      </c>
      <c r="F1533" s="165">
        <f aca="true" t="shared" si="69" ref="F1533:K1533">SUM(F1534:F1535)</f>
        <v>2150817.86</v>
      </c>
      <c r="G1533" s="544"/>
      <c r="H1533" s="333">
        <f t="shared" si="69"/>
        <v>0</v>
      </c>
      <c r="I1533" s="333">
        <f>SUM(I1534:I1535)</f>
        <v>0</v>
      </c>
      <c r="J1533" s="502">
        <f>I1533/F1533*100</f>
        <v>0</v>
      </c>
      <c r="K1533" s="333">
        <f t="shared" si="69"/>
        <v>0</v>
      </c>
      <c r="L1533" s="69">
        <f t="shared" si="62"/>
        <v>2150817.86</v>
      </c>
    </row>
    <row r="1534" spans="1:12" s="171" customFormat="1" ht="15" hidden="1">
      <c r="A1534" s="542"/>
      <c r="B1534" s="450"/>
      <c r="C1534" s="401"/>
      <c r="D1534" s="453"/>
      <c r="E1534" s="323" t="s">
        <v>75</v>
      </c>
      <c r="F1534" s="231">
        <v>2000000</v>
      </c>
      <c r="G1534" s="545"/>
      <c r="H1534" s="326"/>
      <c r="I1534" s="233"/>
      <c r="J1534" s="503"/>
      <c r="K1534" s="323"/>
      <c r="L1534" s="69">
        <f t="shared" si="62"/>
        <v>2000000</v>
      </c>
    </row>
    <row r="1535" spans="1:12" s="171" customFormat="1" ht="15" hidden="1">
      <c r="A1535" s="543"/>
      <c r="B1535" s="451"/>
      <c r="C1535" s="402"/>
      <c r="D1535" s="454"/>
      <c r="E1535" s="323" t="s">
        <v>18</v>
      </c>
      <c r="F1535" s="231">
        <v>150817.85999999987</v>
      </c>
      <c r="G1535" s="546"/>
      <c r="H1535" s="326"/>
      <c r="I1535" s="233"/>
      <c r="J1535" s="504"/>
      <c r="K1535" s="323"/>
      <c r="L1535" s="69">
        <f t="shared" si="62"/>
        <v>150817.85999999987</v>
      </c>
    </row>
    <row r="1536" spans="1:12" s="171" customFormat="1" ht="15" hidden="1">
      <c r="A1536" s="541">
        <v>51</v>
      </c>
      <c r="B1536" s="449" t="s">
        <v>496</v>
      </c>
      <c r="C1536" s="400"/>
      <c r="D1536" s="452"/>
      <c r="E1536" s="81" t="s">
        <v>34</v>
      </c>
      <c r="F1536" s="165">
        <f aca="true" t="shared" si="70" ref="F1536:K1536">SUM(F1537:F1538)</f>
        <v>4223343.9</v>
      </c>
      <c r="G1536" s="544"/>
      <c r="H1536" s="333">
        <f t="shared" si="70"/>
        <v>0</v>
      </c>
      <c r="I1536" s="333">
        <f>SUM(I1537:I1538)</f>
        <v>0</v>
      </c>
      <c r="J1536" s="502">
        <f>I1536/F1536*100</f>
        <v>0</v>
      </c>
      <c r="K1536" s="333">
        <f t="shared" si="70"/>
        <v>0</v>
      </c>
      <c r="L1536" s="69">
        <f t="shared" si="62"/>
        <v>4223343.9</v>
      </c>
    </row>
    <row r="1537" spans="1:12" s="171" customFormat="1" ht="15" hidden="1">
      <c r="A1537" s="542"/>
      <c r="B1537" s="450"/>
      <c r="C1537" s="401"/>
      <c r="D1537" s="453"/>
      <c r="E1537" s="323" t="s">
        <v>75</v>
      </c>
      <c r="F1537" s="231">
        <v>3999506.67</v>
      </c>
      <c r="G1537" s="545"/>
      <c r="H1537" s="326"/>
      <c r="I1537" s="233"/>
      <c r="J1537" s="503"/>
      <c r="K1537" s="323"/>
      <c r="L1537" s="69">
        <f t="shared" si="62"/>
        <v>3999506.67</v>
      </c>
    </row>
    <row r="1538" spans="1:12" s="171" customFormat="1" ht="15" hidden="1">
      <c r="A1538" s="543"/>
      <c r="B1538" s="451"/>
      <c r="C1538" s="402"/>
      <c r="D1538" s="454"/>
      <c r="E1538" s="323" t="s">
        <v>18</v>
      </c>
      <c r="F1538" s="231">
        <v>223837.23000000045</v>
      </c>
      <c r="G1538" s="546"/>
      <c r="H1538" s="326"/>
      <c r="I1538" s="233"/>
      <c r="J1538" s="504"/>
      <c r="K1538" s="323"/>
      <c r="L1538" s="69">
        <f t="shared" si="62"/>
        <v>223837.23000000045</v>
      </c>
    </row>
    <row r="1539" spans="1:12" s="171" customFormat="1" ht="15" hidden="1">
      <c r="A1539" s="541">
        <v>52</v>
      </c>
      <c r="B1539" s="449" t="s">
        <v>497</v>
      </c>
      <c r="C1539" s="400"/>
      <c r="D1539" s="452"/>
      <c r="E1539" s="81" t="s">
        <v>34</v>
      </c>
      <c r="F1539" s="165">
        <f aca="true" t="shared" si="71" ref="F1539:K1539">SUM(F1540:F1541)</f>
        <v>1057163.18</v>
      </c>
      <c r="G1539" s="544"/>
      <c r="H1539" s="333">
        <f t="shared" si="71"/>
        <v>0</v>
      </c>
      <c r="I1539" s="333">
        <f>SUM(I1540:I1541)</f>
        <v>0</v>
      </c>
      <c r="J1539" s="502">
        <f>I1539/F1539*100</f>
        <v>0</v>
      </c>
      <c r="K1539" s="333">
        <f t="shared" si="71"/>
        <v>0</v>
      </c>
      <c r="L1539" s="69">
        <f t="shared" si="62"/>
        <v>1057163.18</v>
      </c>
    </row>
    <row r="1540" spans="1:12" s="171" customFormat="1" ht="15" hidden="1">
      <c r="A1540" s="542"/>
      <c r="B1540" s="450"/>
      <c r="C1540" s="401"/>
      <c r="D1540" s="453"/>
      <c r="E1540" s="323" t="s">
        <v>75</v>
      </c>
      <c r="F1540" s="231">
        <v>1000000</v>
      </c>
      <c r="G1540" s="545"/>
      <c r="H1540" s="326"/>
      <c r="I1540" s="233"/>
      <c r="J1540" s="503"/>
      <c r="K1540" s="323"/>
      <c r="L1540" s="69">
        <f t="shared" si="62"/>
        <v>1000000</v>
      </c>
    </row>
    <row r="1541" spans="1:12" s="171" customFormat="1" ht="15" hidden="1">
      <c r="A1541" s="543"/>
      <c r="B1541" s="451"/>
      <c r="C1541" s="402"/>
      <c r="D1541" s="454"/>
      <c r="E1541" s="323" t="s">
        <v>18</v>
      </c>
      <c r="F1541" s="231">
        <v>57163.179999999935</v>
      </c>
      <c r="G1541" s="546"/>
      <c r="H1541" s="326"/>
      <c r="I1541" s="233"/>
      <c r="J1541" s="504"/>
      <c r="K1541" s="323"/>
      <c r="L1541" s="69">
        <f t="shared" si="62"/>
        <v>57163.179999999935</v>
      </c>
    </row>
    <row r="1542" spans="1:12" s="171" customFormat="1" ht="15" hidden="1">
      <c r="A1542" s="541">
        <v>53</v>
      </c>
      <c r="B1542" s="449" t="s">
        <v>498</v>
      </c>
      <c r="C1542" s="400"/>
      <c r="D1542" s="452"/>
      <c r="E1542" s="81" t="s">
        <v>34</v>
      </c>
      <c r="F1542" s="165">
        <f aca="true" t="shared" si="72" ref="F1542:K1542">SUM(F1543:F1544)</f>
        <v>1056792.66</v>
      </c>
      <c r="G1542" s="544"/>
      <c r="H1542" s="333">
        <f t="shared" si="72"/>
        <v>0</v>
      </c>
      <c r="I1542" s="333">
        <f>SUM(I1543:I1544)</f>
        <v>0</v>
      </c>
      <c r="J1542" s="502">
        <f>I1542/F1542*100</f>
        <v>0</v>
      </c>
      <c r="K1542" s="333">
        <f t="shared" si="72"/>
        <v>0</v>
      </c>
      <c r="L1542" s="69">
        <f t="shared" si="62"/>
        <v>1056792.66</v>
      </c>
    </row>
    <row r="1543" spans="1:12" s="171" customFormat="1" ht="15" hidden="1">
      <c r="A1543" s="542"/>
      <c r="B1543" s="450"/>
      <c r="C1543" s="401"/>
      <c r="D1543" s="453"/>
      <c r="E1543" s="323" t="s">
        <v>75</v>
      </c>
      <c r="F1543" s="231">
        <v>1000000</v>
      </c>
      <c r="G1543" s="545"/>
      <c r="H1543" s="326"/>
      <c r="I1543" s="233"/>
      <c r="J1543" s="503"/>
      <c r="K1543" s="323"/>
      <c r="L1543" s="69">
        <f t="shared" si="62"/>
        <v>1000000</v>
      </c>
    </row>
    <row r="1544" spans="1:12" s="171" customFormat="1" ht="15" hidden="1">
      <c r="A1544" s="543"/>
      <c r="B1544" s="451"/>
      <c r="C1544" s="402"/>
      <c r="D1544" s="454"/>
      <c r="E1544" s="323" t="s">
        <v>18</v>
      </c>
      <c r="F1544" s="231">
        <v>56792.659999999916</v>
      </c>
      <c r="G1544" s="546"/>
      <c r="H1544" s="326"/>
      <c r="I1544" s="233"/>
      <c r="J1544" s="504"/>
      <c r="K1544" s="323"/>
      <c r="L1544" s="69">
        <f t="shared" si="62"/>
        <v>56792.659999999916</v>
      </c>
    </row>
    <row r="1545" spans="1:12" s="171" customFormat="1" ht="24.75" customHeight="1" hidden="1">
      <c r="A1545" s="541">
        <v>54</v>
      </c>
      <c r="B1545" s="449" t="s">
        <v>499</v>
      </c>
      <c r="C1545" s="400"/>
      <c r="D1545" s="452"/>
      <c r="E1545" s="81" t="s">
        <v>34</v>
      </c>
      <c r="F1545" s="165">
        <f aca="true" t="shared" si="73" ref="F1545:K1545">SUM(F1546:F1547)</f>
        <v>3376429.65</v>
      </c>
      <c r="G1545" s="544"/>
      <c r="H1545" s="333">
        <f t="shared" si="73"/>
        <v>0</v>
      </c>
      <c r="I1545" s="333">
        <f>SUM(I1546:I1547)</f>
        <v>0</v>
      </c>
      <c r="J1545" s="502">
        <f>I1545/F1545*100</f>
        <v>0</v>
      </c>
      <c r="K1545" s="333">
        <f t="shared" si="73"/>
        <v>0</v>
      </c>
      <c r="L1545" s="69">
        <f t="shared" si="62"/>
        <v>3376429.65</v>
      </c>
    </row>
    <row r="1546" spans="1:12" s="171" customFormat="1" ht="16.5" customHeight="1" hidden="1">
      <c r="A1546" s="542"/>
      <c r="B1546" s="450"/>
      <c r="C1546" s="401"/>
      <c r="D1546" s="453"/>
      <c r="E1546" s="323" t="s">
        <v>75</v>
      </c>
      <c r="F1546" s="231">
        <v>3207608.16</v>
      </c>
      <c r="G1546" s="545"/>
      <c r="H1546" s="326"/>
      <c r="I1546" s="323"/>
      <c r="J1546" s="503"/>
      <c r="K1546" s="323"/>
      <c r="L1546" s="69">
        <f t="shared" si="62"/>
        <v>3207608.16</v>
      </c>
    </row>
    <row r="1547" spans="1:12" s="171" customFormat="1" ht="15" hidden="1">
      <c r="A1547" s="543"/>
      <c r="B1547" s="451"/>
      <c r="C1547" s="402"/>
      <c r="D1547" s="454"/>
      <c r="E1547" s="323" t="s">
        <v>18</v>
      </c>
      <c r="F1547" s="231">
        <v>168821.48999999976</v>
      </c>
      <c r="G1547" s="546"/>
      <c r="H1547" s="326"/>
      <c r="I1547" s="323"/>
      <c r="J1547" s="504"/>
      <c r="K1547" s="323"/>
      <c r="L1547" s="69">
        <f t="shared" si="62"/>
        <v>168821.48999999976</v>
      </c>
    </row>
    <row r="1548" spans="1:12" s="171" customFormat="1" ht="15" hidden="1">
      <c r="A1548" s="541">
        <v>55</v>
      </c>
      <c r="B1548" s="449" t="s">
        <v>500</v>
      </c>
      <c r="C1548" s="400"/>
      <c r="D1548" s="452"/>
      <c r="E1548" s="81" t="s">
        <v>34</v>
      </c>
      <c r="F1548" s="165">
        <f aca="true" t="shared" si="74" ref="F1548:K1548">SUM(F1549:F1550)</f>
        <v>3510111.78</v>
      </c>
      <c r="G1548" s="544"/>
      <c r="H1548" s="333">
        <f t="shared" si="74"/>
        <v>0</v>
      </c>
      <c r="I1548" s="333">
        <f>SUM(I1549:I1550)</f>
        <v>0</v>
      </c>
      <c r="J1548" s="502">
        <f>I1548/F1548*100</f>
        <v>0</v>
      </c>
      <c r="K1548" s="333">
        <f t="shared" si="74"/>
        <v>0</v>
      </c>
      <c r="L1548" s="69">
        <f t="shared" si="62"/>
        <v>3510111.78</v>
      </c>
    </row>
    <row r="1549" spans="1:12" s="171" customFormat="1" ht="15" hidden="1">
      <c r="A1549" s="542"/>
      <c r="B1549" s="450"/>
      <c r="C1549" s="401"/>
      <c r="D1549" s="453"/>
      <c r="E1549" s="323" t="s">
        <v>75</v>
      </c>
      <c r="F1549" s="231">
        <v>3334606</v>
      </c>
      <c r="G1549" s="545"/>
      <c r="H1549" s="326"/>
      <c r="I1549" s="233"/>
      <c r="J1549" s="503"/>
      <c r="K1549" s="323"/>
      <c r="L1549" s="69">
        <f t="shared" si="62"/>
        <v>3334606</v>
      </c>
    </row>
    <row r="1550" spans="1:12" s="171" customFormat="1" ht="15" hidden="1">
      <c r="A1550" s="543"/>
      <c r="B1550" s="451"/>
      <c r="C1550" s="402"/>
      <c r="D1550" s="454"/>
      <c r="E1550" s="323" t="s">
        <v>18</v>
      </c>
      <c r="F1550" s="231">
        <v>175505.7799999998</v>
      </c>
      <c r="G1550" s="546"/>
      <c r="H1550" s="326"/>
      <c r="I1550" s="233"/>
      <c r="J1550" s="504"/>
      <c r="K1550" s="323"/>
      <c r="L1550" s="69">
        <f t="shared" si="62"/>
        <v>175505.7799999998</v>
      </c>
    </row>
    <row r="1551" spans="1:12" s="171" customFormat="1" ht="15" hidden="1">
      <c r="A1551" s="541">
        <v>56</v>
      </c>
      <c r="B1551" s="449" t="s">
        <v>501</v>
      </c>
      <c r="C1551" s="400"/>
      <c r="D1551" s="452"/>
      <c r="E1551" s="81" t="s">
        <v>34</v>
      </c>
      <c r="F1551" s="165">
        <f aca="true" t="shared" si="75" ref="F1551:K1551">SUM(F1552:F1553)</f>
        <v>3606447.45</v>
      </c>
      <c r="G1551" s="544"/>
      <c r="H1551" s="333">
        <f t="shared" si="75"/>
        <v>0</v>
      </c>
      <c r="I1551" s="333">
        <f>SUM(I1552:I1553)</f>
        <v>0</v>
      </c>
      <c r="J1551" s="502">
        <f>I1551/F1551*100</f>
        <v>0</v>
      </c>
      <c r="K1551" s="333">
        <f t="shared" si="75"/>
        <v>0</v>
      </c>
      <c r="L1551" s="69">
        <f t="shared" si="62"/>
        <v>3606447.45</v>
      </c>
    </row>
    <row r="1552" spans="1:12" s="171" customFormat="1" ht="15" hidden="1">
      <c r="A1552" s="542"/>
      <c r="B1552" s="450"/>
      <c r="C1552" s="401"/>
      <c r="D1552" s="453"/>
      <c r="E1552" s="323" t="s">
        <v>75</v>
      </c>
      <c r="F1552" s="231">
        <v>3426125.07</v>
      </c>
      <c r="G1552" s="545"/>
      <c r="H1552" s="326"/>
      <c r="I1552" s="233"/>
      <c r="J1552" s="503"/>
      <c r="K1552" s="323"/>
      <c r="L1552" s="69">
        <f t="shared" si="62"/>
        <v>3426125.07</v>
      </c>
    </row>
    <row r="1553" spans="1:12" s="171" customFormat="1" ht="15" hidden="1">
      <c r="A1553" s="543"/>
      <c r="B1553" s="451"/>
      <c r="C1553" s="402"/>
      <c r="D1553" s="454"/>
      <c r="E1553" s="323" t="s">
        <v>18</v>
      </c>
      <c r="F1553" s="231">
        <v>180322.38000000035</v>
      </c>
      <c r="G1553" s="546"/>
      <c r="H1553" s="326"/>
      <c r="I1553" s="233"/>
      <c r="J1553" s="504"/>
      <c r="K1553" s="323"/>
      <c r="L1553" s="69">
        <f t="shared" si="62"/>
        <v>180322.38000000035</v>
      </c>
    </row>
    <row r="1554" spans="1:12" s="171" customFormat="1" ht="17.25" customHeight="1" hidden="1">
      <c r="A1554" s="541">
        <v>57</v>
      </c>
      <c r="B1554" s="449" t="s">
        <v>502</v>
      </c>
      <c r="C1554" s="400"/>
      <c r="D1554" s="452"/>
      <c r="E1554" s="81" t="s">
        <v>34</v>
      </c>
      <c r="F1554" s="165">
        <f aca="true" t="shared" si="76" ref="F1554:K1554">SUM(F1555:F1556)</f>
        <v>1054358.32</v>
      </c>
      <c r="G1554" s="544"/>
      <c r="H1554" s="333">
        <f t="shared" si="76"/>
        <v>0</v>
      </c>
      <c r="I1554" s="333">
        <f>SUM(I1555:I1556)</f>
        <v>0</v>
      </c>
      <c r="J1554" s="502">
        <f>I1554/F1554*100</f>
        <v>0</v>
      </c>
      <c r="K1554" s="333">
        <f t="shared" si="76"/>
        <v>0</v>
      </c>
      <c r="L1554" s="69">
        <f t="shared" si="62"/>
        <v>1054358.32</v>
      </c>
    </row>
    <row r="1555" spans="1:12" s="171" customFormat="1" ht="16.5" customHeight="1" hidden="1">
      <c r="A1555" s="542"/>
      <c r="B1555" s="450"/>
      <c r="C1555" s="401"/>
      <c r="D1555" s="453"/>
      <c r="E1555" s="323" t="s">
        <v>75</v>
      </c>
      <c r="F1555" s="231">
        <v>1000000</v>
      </c>
      <c r="G1555" s="545"/>
      <c r="H1555" s="326"/>
      <c r="I1555" s="233">
        <v>0</v>
      </c>
      <c r="J1555" s="503"/>
      <c r="K1555" s="323">
        <v>0</v>
      </c>
      <c r="L1555" s="69">
        <f t="shared" si="62"/>
        <v>1000000</v>
      </c>
    </row>
    <row r="1556" spans="1:12" s="171" customFormat="1" ht="24" customHeight="1" hidden="1">
      <c r="A1556" s="543"/>
      <c r="B1556" s="451"/>
      <c r="C1556" s="402"/>
      <c r="D1556" s="454"/>
      <c r="E1556" s="323" t="s">
        <v>18</v>
      </c>
      <c r="F1556" s="237">
        <v>54358.320000000065</v>
      </c>
      <c r="G1556" s="546"/>
      <c r="H1556" s="326"/>
      <c r="I1556" s="233">
        <v>0</v>
      </c>
      <c r="J1556" s="504"/>
      <c r="K1556" s="323">
        <v>0</v>
      </c>
      <c r="L1556" s="69">
        <f t="shared" si="62"/>
        <v>54358.320000000065</v>
      </c>
    </row>
    <row r="1557" spans="1:12" s="171" customFormat="1" ht="15" hidden="1">
      <c r="A1557" s="541">
        <v>58</v>
      </c>
      <c r="B1557" s="449" t="s">
        <v>503</v>
      </c>
      <c r="C1557" s="400"/>
      <c r="D1557" s="452"/>
      <c r="E1557" s="81" t="s">
        <v>34</v>
      </c>
      <c r="F1557" s="165">
        <f aca="true" t="shared" si="77" ref="F1557:K1557">SUM(F1558:F1559)</f>
        <v>1580611.18</v>
      </c>
      <c r="G1557" s="544"/>
      <c r="H1557" s="333">
        <f t="shared" si="77"/>
        <v>0</v>
      </c>
      <c r="I1557" s="333">
        <f>SUM(I1558:I1559)</f>
        <v>0</v>
      </c>
      <c r="J1557" s="502">
        <f>I1557/F1557*100</f>
        <v>0</v>
      </c>
      <c r="K1557" s="333">
        <f t="shared" si="77"/>
        <v>0</v>
      </c>
      <c r="L1557" s="69">
        <f t="shared" si="62"/>
        <v>1580611.18</v>
      </c>
    </row>
    <row r="1558" spans="1:12" s="171" customFormat="1" ht="15" hidden="1">
      <c r="A1558" s="542"/>
      <c r="B1558" s="450"/>
      <c r="C1558" s="401"/>
      <c r="D1558" s="453"/>
      <c r="E1558" s="323" t="s">
        <v>75</v>
      </c>
      <c r="F1558" s="231">
        <v>1500000</v>
      </c>
      <c r="G1558" s="545"/>
      <c r="H1558" s="326"/>
      <c r="I1558" s="233"/>
      <c r="J1558" s="503"/>
      <c r="K1558" s="323"/>
      <c r="L1558" s="69">
        <f t="shared" si="62"/>
        <v>1500000</v>
      </c>
    </row>
    <row r="1559" spans="1:12" s="171" customFormat="1" ht="17.25" customHeight="1" hidden="1">
      <c r="A1559" s="543"/>
      <c r="B1559" s="451"/>
      <c r="C1559" s="402"/>
      <c r="D1559" s="454"/>
      <c r="E1559" s="323" t="s">
        <v>18</v>
      </c>
      <c r="F1559" s="231">
        <v>80611.17999999993</v>
      </c>
      <c r="G1559" s="546"/>
      <c r="H1559" s="326"/>
      <c r="I1559" s="233"/>
      <c r="J1559" s="504"/>
      <c r="K1559" s="323"/>
      <c r="L1559" s="69">
        <f t="shared" si="62"/>
        <v>80611.17999999993</v>
      </c>
    </row>
    <row r="1560" spans="1:12" s="171" customFormat="1" ht="15" hidden="1">
      <c r="A1560" s="541">
        <v>59</v>
      </c>
      <c r="B1560" s="449" t="s">
        <v>504</v>
      </c>
      <c r="C1560" s="400"/>
      <c r="D1560" s="452"/>
      <c r="E1560" s="81" t="s">
        <v>34</v>
      </c>
      <c r="F1560" s="165">
        <f aca="true" t="shared" si="78" ref="F1560:K1560">SUM(F1561:F1562)</f>
        <v>4212284.94</v>
      </c>
      <c r="G1560" s="544"/>
      <c r="H1560" s="333">
        <f t="shared" si="78"/>
        <v>0</v>
      </c>
      <c r="I1560" s="333">
        <f>SUM(I1561:I1562)</f>
        <v>0</v>
      </c>
      <c r="J1560" s="502">
        <f>I1560/F1560*100</f>
        <v>0</v>
      </c>
      <c r="K1560" s="333">
        <f t="shared" si="78"/>
        <v>0</v>
      </c>
      <c r="L1560" s="69">
        <f t="shared" si="62"/>
        <v>4212284.94</v>
      </c>
    </row>
    <row r="1561" spans="1:12" s="171" customFormat="1" ht="15" hidden="1">
      <c r="A1561" s="542"/>
      <c r="B1561" s="450"/>
      <c r="C1561" s="401"/>
      <c r="D1561" s="453"/>
      <c r="E1561" s="323" t="s">
        <v>75</v>
      </c>
      <c r="F1561" s="231">
        <v>4000000</v>
      </c>
      <c r="G1561" s="545"/>
      <c r="H1561" s="326"/>
      <c r="I1561" s="233"/>
      <c r="J1561" s="503"/>
      <c r="K1561" s="323"/>
      <c r="L1561" s="69">
        <f t="shared" si="62"/>
        <v>4000000</v>
      </c>
    </row>
    <row r="1562" spans="1:12" s="171" customFormat="1" ht="15" hidden="1">
      <c r="A1562" s="543"/>
      <c r="B1562" s="451"/>
      <c r="C1562" s="402"/>
      <c r="D1562" s="454"/>
      <c r="E1562" s="323" t="s">
        <v>18</v>
      </c>
      <c r="F1562" s="231">
        <v>212284.9400000004</v>
      </c>
      <c r="G1562" s="546"/>
      <c r="H1562" s="326"/>
      <c r="I1562" s="233"/>
      <c r="J1562" s="504"/>
      <c r="K1562" s="323"/>
      <c r="L1562" s="69">
        <f t="shared" si="62"/>
        <v>212284.9400000004</v>
      </c>
    </row>
    <row r="1563" spans="1:12" s="171" customFormat="1" ht="20.25" customHeight="1" hidden="1">
      <c r="A1563" s="541">
        <v>60</v>
      </c>
      <c r="B1563" s="449" t="s">
        <v>505</v>
      </c>
      <c r="C1563" s="400"/>
      <c r="D1563" s="452"/>
      <c r="E1563" s="81" t="s">
        <v>34</v>
      </c>
      <c r="F1563" s="165">
        <f aca="true" t="shared" si="79" ref="F1563:K1563">SUM(F1564:F1565)</f>
        <v>1579906.72</v>
      </c>
      <c r="G1563" s="544"/>
      <c r="H1563" s="333">
        <f t="shared" si="79"/>
        <v>0</v>
      </c>
      <c r="I1563" s="333">
        <v>0</v>
      </c>
      <c r="J1563" s="502">
        <f>I1563/F1563*100</f>
        <v>0</v>
      </c>
      <c r="K1563" s="333">
        <f t="shared" si="79"/>
        <v>0</v>
      </c>
      <c r="L1563" s="69">
        <f t="shared" si="62"/>
        <v>1579906.72</v>
      </c>
    </row>
    <row r="1564" spans="1:12" s="171" customFormat="1" ht="15" hidden="1">
      <c r="A1564" s="542"/>
      <c r="B1564" s="450"/>
      <c r="C1564" s="401"/>
      <c r="D1564" s="453"/>
      <c r="E1564" s="323" t="s">
        <v>75</v>
      </c>
      <c r="F1564" s="231">
        <v>1500000</v>
      </c>
      <c r="G1564" s="545"/>
      <c r="H1564" s="326"/>
      <c r="I1564" s="233"/>
      <c r="J1564" s="503"/>
      <c r="K1564" s="323"/>
      <c r="L1564" s="69">
        <f t="shared" si="62"/>
        <v>1500000</v>
      </c>
    </row>
    <row r="1565" spans="1:12" s="171" customFormat="1" ht="24" customHeight="1" hidden="1">
      <c r="A1565" s="543"/>
      <c r="B1565" s="451"/>
      <c r="C1565" s="402"/>
      <c r="D1565" s="454"/>
      <c r="E1565" s="323" t="s">
        <v>18</v>
      </c>
      <c r="F1565" s="237">
        <v>79906.71999999997</v>
      </c>
      <c r="G1565" s="546"/>
      <c r="H1565" s="326"/>
      <c r="I1565" s="247"/>
      <c r="J1565" s="504"/>
      <c r="K1565" s="323"/>
      <c r="L1565" s="69">
        <f t="shared" si="62"/>
        <v>79906.71999999997</v>
      </c>
    </row>
    <row r="1566" spans="1:12" s="171" customFormat="1" ht="15" hidden="1">
      <c r="A1566" s="541">
        <v>61</v>
      </c>
      <c r="B1566" s="449" t="s">
        <v>506</v>
      </c>
      <c r="C1566" s="400"/>
      <c r="D1566" s="452"/>
      <c r="E1566" s="81" t="s">
        <v>34</v>
      </c>
      <c r="F1566" s="165">
        <f aca="true" t="shared" si="80" ref="F1566:K1566">SUM(F1567:F1568)</f>
        <v>2108554.98</v>
      </c>
      <c r="G1566" s="544"/>
      <c r="H1566" s="333">
        <f t="shared" si="80"/>
        <v>0</v>
      </c>
      <c r="I1566" s="333">
        <f>SUM(I1567:I1568)</f>
        <v>0</v>
      </c>
      <c r="J1566" s="502">
        <f>I1566/F1566*100</f>
        <v>0</v>
      </c>
      <c r="K1566" s="333">
        <f t="shared" si="80"/>
        <v>0</v>
      </c>
      <c r="L1566" s="69">
        <f t="shared" si="62"/>
        <v>2108554.98</v>
      </c>
    </row>
    <row r="1567" spans="1:12" s="171" customFormat="1" ht="15" hidden="1">
      <c r="A1567" s="542"/>
      <c r="B1567" s="450"/>
      <c r="C1567" s="401"/>
      <c r="D1567" s="453"/>
      <c r="E1567" s="323" t="s">
        <v>75</v>
      </c>
      <c r="F1567" s="231">
        <v>2000000</v>
      </c>
      <c r="G1567" s="545"/>
      <c r="H1567" s="326"/>
      <c r="I1567" s="233"/>
      <c r="J1567" s="503"/>
      <c r="K1567" s="323"/>
      <c r="L1567" s="69">
        <f t="shared" si="62"/>
        <v>2000000</v>
      </c>
    </row>
    <row r="1568" spans="1:12" s="171" customFormat="1" ht="15" hidden="1">
      <c r="A1568" s="543"/>
      <c r="B1568" s="451"/>
      <c r="C1568" s="402"/>
      <c r="D1568" s="454"/>
      <c r="E1568" s="323" t="s">
        <v>18</v>
      </c>
      <c r="F1568" s="231">
        <v>108554.97999999998</v>
      </c>
      <c r="G1568" s="546"/>
      <c r="H1568" s="326"/>
      <c r="I1568" s="233"/>
      <c r="J1568" s="504"/>
      <c r="K1568" s="323"/>
      <c r="L1568" s="69">
        <f t="shared" si="62"/>
        <v>108554.97999999998</v>
      </c>
    </row>
    <row r="1569" spans="1:12" s="171" customFormat="1" ht="15" hidden="1">
      <c r="A1569" s="541">
        <v>62</v>
      </c>
      <c r="B1569" s="449" t="s">
        <v>507</v>
      </c>
      <c r="C1569" s="400"/>
      <c r="D1569" s="452"/>
      <c r="E1569" s="81" t="s">
        <v>34</v>
      </c>
      <c r="F1569" s="165">
        <f aca="true" t="shared" si="81" ref="F1569:K1569">SUM(F1570:F1571)</f>
        <v>2691819.52</v>
      </c>
      <c r="G1569" s="544"/>
      <c r="H1569" s="333">
        <f t="shared" si="81"/>
        <v>0</v>
      </c>
      <c r="I1569" s="333">
        <f>SUM(I1570:I1571)</f>
        <v>0</v>
      </c>
      <c r="J1569" s="502">
        <f>I1569/F1569*100</f>
        <v>0</v>
      </c>
      <c r="K1569" s="333">
        <f t="shared" si="81"/>
        <v>0</v>
      </c>
      <c r="L1569" s="69">
        <f t="shared" si="62"/>
        <v>2691819.52</v>
      </c>
    </row>
    <row r="1570" spans="1:12" s="171" customFormat="1" ht="15" hidden="1">
      <c r="A1570" s="542"/>
      <c r="B1570" s="450"/>
      <c r="C1570" s="401"/>
      <c r="D1570" s="453"/>
      <c r="E1570" s="323" t="s">
        <v>75</v>
      </c>
      <c r="F1570" s="231">
        <v>2557228.54</v>
      </c>
      <c r="G1570" s="545"/>
      <c r="H1570" s="326"/>
      <c r="I1570" s="233"/>
      <c r="J1570" s="503"/>
      <c r="K1570" s="323"/>
      <c r="L1570" s="69">
        <f t="shared" si="62"/>
        <v>2557228.54</v>
      </c>
    </row>
    <row r="1571" spans="1:12" s="171" customFormat="1" ht="15" hidden="1">
      <c r="A1571" s="543"/>
      <c r="B1571" s="451"/>
      <c r="C1571" s="402"/>
      <c r="D1571" s="454"/>
      <c r="E1571" s="323" t="s">
        <v>18</v>
      </c>
      <c r="F1571" s="231">
        <v>134590.97999999998</v>
      </c>
      <c r="G1571" s="546"/>
      <c r="H1571" s="326"/>
      <c r="I1571" s="233"/>
      <c r="J1571" s="504"/>
      <c r="K1571" s="323"/>
      <c r="L1571" s="69">
        <f t="shared" si="62"/>
        <v>134590.97999999998</v>
      </c>
    </row>
    <row r="1572" spans="1:12" s="171" customFormat="1" ht="15" hidden="1">
      <c r="A1572" s="541">
        <v>63</v>
      </c>
      <c r="B1572" s="449" t="s">
        <v>508</v>
      </c>
      <c r="C1572" s="400"/>
      <c r="D1572" s="452"/>
      <c r="E1572" s="81" t="s">
        <v>34</v>
      </c>
      <c r="F1572" s="165">
        <f aca="true" t="shared" si="82" ref="F1572:K1572">SUM(F1573:F1574)</f>
        <v>2973375.8</v>
      </c>
      <c r="G1572" s="544"/>
      <c r="H1572" s="333">
        <f t="shared" si="82"/>
        <v>0</v>
      </c>
      <c r="I1572" s="333">
        <f>SUM(I1573:I1574)</f>
        <v>0</v>
      </c>
      <c r="J1572" s="502">
        <f>I1572/F1572*100</f>
        <v>0</v>
      </c>
      <c r="K1572" s="333">
        <f t="shared" si="82"/>
        <v>0</v>
      </c>
      <c r="L1572" s="69">
        <f t="shared" si="62"/>
        <v>2973375.8</v>
      </c>
    </row>
    <row r="1573" spans="1:12" s="171" customFormat="1" ht="15" hidden="1">
      <c r="A1573" s="542"/>
      <c r="B1573" s="450"/>
      <c r="C1573" s="401"/>
      <c r="D1573" s="453"/>
      <c r="E1573" s="323" t="s">
        <v>75</v>
      </c>
      <c r="F1573" s="231">
        <v>2824707.01</v>
      </c>
      <c r="G1573" s="545"/>
      <c r="H1573" s="326"/>
      <c r="I1573" s="233"/>
      <c r="J1573" s="503"/>
      <c r="K1573" s="323"/>
      <c r="L1573" s="69">
        <f t="shared" si="62"/>
        <v>2824707.01</v>
      </c>
    </row>
    <row r="1574" spans="1:12" s="171" customFormat="1" ht="15" hidden="1">
      <c r="A1574" s="543"/>
      <c r="B1574" s="451"/>
      <c r="C1574" s="402"/>
      <c r="D1574" s="454"/>
      <c r="E1574" s="323" t="s">
        <v>18</v>
      </c>
      <c r="F1574" s="231">
        <v>148668.79000000004</v>
      </c>
      <c r="G1574" s="546"/>
      <c r="H1574" s="326"/>
      <c r="I1574" s="247"/>
      <c r="J1574" s="504"/>
      <c r="K1574" s="323"/>
      <c r="L1574" s="69">
        <f t="shared" si="62"/>
        <v>148668.79000000004</v>
      </c>
    </row>
    <row r="1575" spans="1:12" s="171" customFormat="1" ht="15" hidden="1">
      <c r="A1575" s="541">
        <v>64</v>
      </c>
      <c r="B1575" s="449" t="s">
        <v>509</v>
      </c>
      <c r="C1575" s="400"/>
      <c r="D1575" s="452"/>
      <c r="E1575" s="81" t="s">
        <v>34</v>
      </c>
      <c r="F1575" s="165">
        <f aca="true" t="shared" si="83" ref="F1575:K1575">SUM(F1576:F1577)</f>
        <v>4417056.24</v>
      </c>
      <c r="G1575" s="544"/>
      <c r="H1575" s="333">
        <f t="shared" si="83"/>
        <v>0</v>
      </c>
      <c r="I1575" s="333">
        <f>SUM(I1576:I1577)</f>
        <v>0</v>
      </c>
      <c r="J1575" s="502">
        <f>I1575/F1575*100</f>
        <v>0</v>
      </c>
      <c r="K1575" s="333">
        <f t="shared" si="83"/>
        <v>0</v>
      </c>
      <c r="L1575" s="69">
        <f t="shared" si="62"/>
        <v>4417056.24</v>
      </c>
    </row>
    <row r="1576" spans="1:12" s="171" customFormat="1" ht="15" hidden="1">
      <c r="A1576" s="542"/>
      <c r="B1576" s="450"/>
      <c r="C1576" s="401"/>
      <c r="D1576" s="453"/>
      <c r="E1576" s="323" t="s">
        <v>75</v>
      </c>
      <c r="F1576" s="231">
        <v>4196203.42</v>
      </c>
      <c r="G1576" s="545"/>
      <c r="H1576" s="326"/>
      <c r="I1576" s="233"/>
      <c r="J1576" s="503"/>
      <c r="K1576" s="323"/>
      <c r="L1576" s="69">
        <f t="shared" si="62"/>
        <v>4196203.42</v>
      </c>
    </row>
    <row r="1577" spans="1:12" s="171" customFormat="1" ht="15" hidden="1">
      <c r="A1577" s="543"/>
      <c r="B1577" s="451"/>
      <c r="C1577" s="402"/>
      <c r="D1577" s="454"/>
      <c r="E1577" s="323" t="s">
        <v>18</v>
      </c>
      <c r="F1577" s="231">
        <v>220852.8200000003</v>
      </c>
      <c r="G1577" s="546"/>
      <c r="H1577" s="326"/>
      <c r="I1577" s="233"/>
      <c r="J1577" s="504"/>
      <c r="K1577" s="323"/>
      <c r="L1577" s="69">
        <f t="shared" si="62"/>
        <v>220852.8200000003</v>
      </c>
    </row>
    <row r="1578" spans="1:12" s="171" customFormat="1" ht="15" hidden="1">
      <c r="A1578" s="541">
        <v>65</v>
      </c>
      <c r="B1578" s="449" t="s">
        <v>510</v>
      </c>
      <c r="C1578" s="400"/>
      <c r="D1578" s="452"/>
      <c r="E1578" s="81" t="s">
        <v>34</v>
      </c>
      <c r="F1578" s="165">
        <f aca="true" t="shared" si="84" ref="F1578:K1578">SUM(F1579:F1580)</f>
        <v>3032700.3</v>
      </c>
      <c r="G1578" s="544"/>
      <c r="H1578" s="333">
        <f t="shared" si="84"/>
        <v>0</v>
      </c>
      <c r="I1578" s="333">
        <f>SUM(I1579:I1580)</f>
        <v>0</v>
      </c>
      <c r="J1578" s="502">
        <f>I1578/F1578*100</f>
        <v>0</v>
      </c>
      <c r="K1578" s="333">
        <f t="shared" si="84"/>
        <v>0</v>
      </c>
      <c r="L1578" s="69">
        <f aca="true" t="shared" si="85" ref="L1578:L1641">F1578-K1578</f>
        <v>3032700.3</v>
      </c>
    </row>
    <row r="1579" spans="1:12" s="171" customFormat="1" ht="15" hidden="1">
      <c r="A1579" s="542"/>
      <c r="B1579" s="450"/>
      <c r="C1579" s="401"/>
      <c r="D1579" s="453"/>
      <c r="E1579" s="323" t="s">
        <v>75</v>
      </c>
      <c r="F1579" s="231">
        <v>2500000</v>
      </c>
      <c r="G1579" s="545"/>
      <c r="H1579" s="326"/>
      <c r="I1579" s="233"/>
      <c r="J1579" s="503"/>
      <c r="K1579" s="323"/>
      <c r="L1579" s="69">
        <f t="shared" si="85"/>
        <v>2500000</v>
      </c>
    </row>
    <row r="1580" spans="1:12" s="171" customFormat="1" ht="15" hidden="1">
      <c r="A1580" s="543"/>
      <c r="B1580" s="451"/>
      <c r="C1580" s="402"/>
      <c r="D1580" s="454"/>
      <c r="E1580" s="323" t="s">
        <v>18</v>
      </c>
      <c r="F1580" s="231">
        <v>532700.2999999998</v>
      </c>
      <c r="G1580" s="546"/>
      <c r="H1580" s="326"/>
      <c r="I1580" s="233"/>
      <c r="J1580" s="504"/>
      <c r="K1580" s="323"/>
      <c r="L1580" s="69">
        <f t="shared" si="85"/>
        <v>532700.2999999998</v>
      </c>
    </row>
    <row r="1581" spans="1:12" s="171" customFormat="1" ht="15" hidden="1">
      <c r="A1581" s="541">
        <v>66</v>
      </c>
      <c r="B1581" s="449" t="s">
        <v>511</v>
      </c>
      <c r="C1581" s="297"/>
      <c r="D1581" s="292"/>
      <c r="E1581" s="81" t="s">
        <v>34</v>
      </c>
      <c r="F1581" s="165">
        <f>SUM(F1582:F1583)</f>
        <v>3751489.04</v>
      </c>
      <c r="G1581" s="294"/>
      <c r="H1581" s="326"/>
      <c r="I1581" s="233"/>
      <c r="J1581" s="300"/>
      <c r="K1581" s="323"/>
      <c r="L1581" s="69">
        <f t="shared" si="85"/>
        <v>3751489.04</v>
      </c>
    </row>
    <row r="1582" spans="1:12" s="171" customFormat="1" ht="15" hidden="1">
      <c r="A1582" s="542"/>
      <c r="B1582" s="450"/>
      <c r="C1582" s="297"/>
      <c r="D1582" s="292"/>
      <c r="E1582" s="323" t="s">
        <v>75</v>
      </c>
      <c r="F1582" s="231">
        <v>3200000</v>
      </c>
      <c r="G1582" s="294"/>
      <c r="H1582" s="326"/>
      <c r="I1582" s="233"/>
      <c r="J1582" s="300"/>
      <c r="K1582" s="323"/>
      <c r="L1582" s="69">
        <f t="shared" si="85"/>
        <v>3200000</v>
      </c>
    </row>
    <row r="1583" spans="1:12" s="171" customFormat="1" ht="15" hidden="1">
      <c r="A1583" s="543"/>
      <c r="B1583" s="451"/>
      <c r="C1583" s="297"/>
      <c r="D1583" s="292"/>
      <c r="E1583" s="323" t="s">
        <v>18</v>
      </c>
      <c r="F1583" s="231">
        <v>551489.04</v>
      </c>
      <c r="G1583" s="294"/>
      <c r="H1583" s="326"/>
      <c r="I1583" s="233"/>
      <c r="J1583" s="300"/>
      <c r="K1583" s="323"/>
      <c r="L1583" s="69">
        <f t="shared" si="85"/>
        <v>551489.04</v>
      </c>
    </row>
    <row r="1584" spans="1:12" s="171" customFormat="1" ht="21.75" customHeight="1" hidden="1">
      <c r="A1584" s="541">
        <v>67</v>
      </c>
      <c r="B1584" s="449" t="s">
        <v>512</v>
      </c>
      <c r="C1584" s="400"/>
      <c r="D1584" s="452"/>
      <c r="E1584" s="81" t="s">
        <v>34</v>
      </c>
      <c r="F1584" s="165">
        <f aca="true" t="shared" si="86" ref="F1584:K1584">SUM(F1585:F1586)</f>
        <v>3002731.84</v>
      </c>
      <c r="G1584" s="544"/>
      <c r="H1584" s="333">
        <f t="shared" si="86"/>
        <v>0</v>
      </c>
      <c r="I1584" s="333">
        <f>SUM(I1585:I1586)</f>
        <v>0</v>
      </c>
      <c r="J1584" s="502">
        <f>I1584/F1584*100</f>
        <v>0</v>
      </c>
      <c r="K1584" s="333">
        <f t="shared" si="86"/>
        <v>0</v>
      </c>
      <c r="L1584" s="69">
        <f t="shared" si="85"/>
        <v>3002731.84</v>
      </c>
    </row>
    <row r="1585" spans="1:12" s="171" customFormat="1" ht="24" customHeight="1" hidden="1">
      <c r="A1585" s="542"/>
      <c r="B1585" s="450"/>
      <c r="C1585" s="401"/>
      <c r="D1585" s="453"/>
      <c r="E1585" s="323" t="s">
        <v>75</v>
      </c>
      <c r="F1585" s="237">
        <v>2500000</v>
      </c>
      <c r="G1585" s="545"/>
      <c r="H1585" s="326"/>
      <c r="I1585" s="233"/>
      <c r="J1585" s="503"/>
      <c r="K1585" s="323"/>
      <c r="L1585" s="69">
        <f t="shared" si="85"/>
        <v>2500000</v>
      </c>
    </row>
    <row r="1586" spans="1:12" s="171" customFormat="1" ht="15" hidden="1">
      <c r="A1586" s="543"/>
      <c r="B1586" s="451"/>
      <c r="C1586" s="402"/>
      <c r="D1586" s="454"/>
      <c r="E1586" s="323" t="s">
        <v>18</v>
      </c>
      <c r="F1586" s="237">
        <v>502731.83999999985</v>
      </c>
      <c r="G1586" s="546"/>
      <c r="H1586" s="326"/>
      <c r="I1586" s="247"/>
      <c r="J1586" s="504"/>
      <c r="K1586" s="323"/>
      <c r="L1586" s="69">
        <f t="shared" si="85"/>
        <v>502731.83999999985</v>
      </c>
    </row>
    <row r="1587" spans="1:12" s="171" customFormat="1" ht="15" hidden="1">
      <c r="A1587" s="541">
        <v>68</v>
      </c>
      <c r="B1587" s="449" t="s">
        <v>513</v>
      </c>
      <c r="C1587" s="400"/>
      <c r="D1587" s="452"/>
      <c r="E1587" s="81" t="s">
        <v>34</v>
      </c>
      <c r="F1587" s="165">
        <f aca="true" t="shared" si="87" ref="F1587:K1587">SUM(F1588:F1589)</f>
        <v>3001502.3</v>
      </c>
      <c r="G1587" s="473"/>
      <c r="H1587" s="333">
        <f t="shared" si="87"/>
        <v>0</v>
      </c>
      <c r="I1587" s="333">
        <f>SUM(I1588:I1589)</f>
        <v>0</v>
      </c>
      <c r="J1587" s="502">
        <f>I1587/F1587*100</f>
        <v>0</v>
      </c>
      <c r="K1587" s="333">
        <f t="shared" si="87"/>
        <v>0</v>
      </c>
      <c r="L1587" s="69">
        <f t="shared" si="85"/>
        <v>3001502.3</v>
      </c>
    </row>
    <row r="1588" spans="1:12" s="171" customFormat="1" ht="15" hidden="1">
      <c r="A1588" s="542"/>
      <c r="B1588" s="450"/>
      <c r="C1588" s="401"/>
      <c r="D1588" s="453"/>
      <c r="E1588" s="323" t="s">
        <v>75</v>
      </c>
      <c r="F1588" s="231">
        <v>2500000</v>
      </c>
      <c r="G1588" s="474"/>
      <c r="H1588" s="326"/>
      <c r="I1588" s="233"/>
      <c r="J1588" s="503"/>
      <c r="K1588" s="323"/>
      <c r="L1588" s="69">
        <f t="shared" si="85"/>
        <v>2500000</v>
      </c>
    </row>
    <row r="1589" spans="1:12" s="171" customFormat="1" ht="15" hidden="1">
      <c r="A1589" s="543"/>
      <c r="B1589" s="451"/>
      <c r="C1589" s="402"/>
      <c r="D1589" s="454"/>
      <c r="E1589" s="323" t="s">
        <v>18</v>
      </c>
      <c r="F1589" s="231">
        <v>501502.2999999998</v>
      </c>
      <c r="G1589" s="475"/>
      <c r="H1589" s="326"/>
      <c r="I1589" s="233"/>
      <c r="J1589" s="504"/>
      <c r="K1589" s="323"/>
      <c r="L1589" s="69">
        <f t="shared" si="85"/>
        <v>501502.2999999998</v>
      </c>
    </row>
    <row r="1590" spans="1:12" s="171" customFormat="1" ht="15" hidden="1">
      <c r="A1590" s="541">
        <v>69</v>
      </c>
      <c r="B1590" s="449" t="s">
        <v>514</v>
      </c>
      <c r="C1590" s="400"/>
      <c r="D1590" s="452"/>
      <c r="E1590" s="81" t="s">
        <v>34</v>
      </c>
      <c r="F1590" s="165">
        <f aca="true" t="shared" si="88" ref="F1590:K1590">SUM(F1591:F1592)</f>
        <v>4331532.2</v>
      </c>
      <c r="G1590" s="544"/>
      <c r="H1590" s="333">
        <f t="shared" si="88"/>
        <v>0</v>
      </c>
      <c r="I1590" s="333">
        <f>SUM(I1591:I1592)</f>
        <v>0</v>
      </c>
      <c r="J1590" s="502">
        <f>I1590/F1590*100</f>
        <v>0</v>
      </c>
      <c r="K1590" s="333">
        <f t="shared" si="88"/>
        <v>0</v>
      </c>
      <c r="L1590" s="69">
        <f t="shared" si="85"/>
        <v>4331532.2</v>
      </c>
    </row>
    <row r="1591" spans="1:12" s="171" customFormat="1" ht="15" hidden="1">
      <c r="A1591" s="542"/>
      <c r="B1591" s="450"/>
      <c r="C1591" s="401"/>
      <c r="D1591" s="453"/>
      <c r="E1591" s="323" t="s">
        <v>75</v>
      </c>
      <c r="F1591" s="231">
        <v>4114955.59</v>
      </c>
      <c r="G1591" s="545"/>
      <c r="H1591" s="326"/>
      <c r="I1591" s="233"/>
      <c r="J1591" s="503"/>
      <c r="K1591" s="323"/>
      <c r="L1591" s="69">
        <f t="shared" si="85"/>
        <v>4114955.59</v>
      </c>
    </row>
    <row r="1592" spans="1:12" s="171" customFormat="1" ht="15" hidden="1">
      <c r="A1592" s="543"/>
      <c r="B1592" s="451"/>
      <c r="C1592" s="402"/>
      <c r="D1592" s="454"/>
      <c r="E1592" s="323" t="s">
        <v>18</v>
      </c>
      <c r="F1592" s="231">
        <v>216576.61000000034</v>
      </c>
      <c r="G1592" s="546"/>
      <c r="H1592" s="326"/>
      <c r="I1592" s="233"/>
      <c r="J1592" s="504"/>
      <c r="K1592" s="323"/>
      <c r="L1592" s="69">
        <f t="shared" si="85"/>
        <v>216576.61000000034</v>
      </c>
    </row>
    <row r="1593" spans="1:12" s="171" customFormat="1" ht="15" hidden="1">
      <c r="A1593" s="541">
        <v>70</v>
      </c>
      <c r="B1593" s="449" t="s">
        <v>515</v>
      </c>
      <c r="C1593" s="400"/>
      <c r="D1593" s="452"/>
      <c r="E1593" s="81" t="s">
        <v>34</v>
      </c>
      <c r="F1593" s="165">
        <f aca="true" t="shared" si="89" ref="F1593:K1593">SUM(F1594:F1595)</f>
        <v>3659135.16</v>
      </c>
      <c r="G1593" s="544"/>
      <c r="H1593" s="333">
        <f t="shared" si="89"/>
        <v>0</v>
      </c>
      <c r="I1593" s="333">
        <f>SUM(I1594:I1595)</f>
        <v>0</v>
      </c>
      <c r="J1593" s="502">
        <f>I1593/F1593*100</f>
        <v>0</v>
      </c>
      <c r="K1593" s="333">
        <f t="shared" si="89"/>
        <v>0</v>
      </c>
      <c r="L1593" s="69">
        <f t="shared" si="85"/>
        <v>3659135.16</v>
      </c>
    </row>
    <row r="1594" spans="1:12" s="171" customFormat="1" ht="15" hidden="1">
      <c r="A1594" s="542"/>
      <c r="B1594" s="450"/>
      <c r="C1594" s="401"/>
      <c r="D1594" s="453"/>
      <c r="E1594" s="323" t="s">
        <v>75</v>
      </c>
      <c r="F1594" s="231">
        <v>3476178.4</v>
      </c>
      <c r="G1594" s="545"/>
      <c r="H1594" s="326"/>
      <c r="I1594" s="233"/>
      <c r="J1594" s="503"/>
      <c r="K1594" s="323"/>
      <c r="L1594" s="69">
        <f t="shared" si="85"/>
        <v>3476178.4</v>
      </c>
    </row>
    <row r="1595" spans="1:12" s="171" customFormat="1" ht="15" hidden="1">
      <c r="A1595" s="543"/>
      <c r="B1595" s="451"/>
      <c r="C1595" s="402"/>
      <c r="D1595" s="454"/>
      <c r="E1595" s="323" t="s">
        <v>18</v>
      </c>
      <c r="F1595" s="231">
        <v>182956.76000000024</v>
      </c>
      <c r="G1595" s="546"/>
      <c r="H1595" s="326"/>
      <c r="I1595" s="233"/>
      <c r="J1595" s="504"/>
      <c r="K1595" s="323"/>
      <c r="L1595" s="69">
        <f t="shared" si="85"/>
        <v>182956.76000000024</v>
      </c>
    </row>
    <row r="1596" spans="1:12" s="171" customFormat="1" ht="15" hidden="1">
      <c r="A1596" s="541">
        <v>71</v>
      </c>
      <c r="B1596" s="449" t="s">
        <v>516</v>
      </c>
      <c r="C1596" s="400"/>
      <c r="D1596" s="452"/>
      <c r="E1596" s="81" t="s">
        <v>34</v>
      </c>
      <c r="F1596" s="165">
        <f aca="true" t="shared" si="90" ref="F1596:K1596">SUM(F1597:F1598)</f>
        <v>4562313.06</v>
      </c>
      <c r="G1596" s="544"/>
      <c r="H1596" s="333">
        <f t="shared" si="90"/>
        <v>0</v>
      </c>
      <c r="I1596" s="333">
        <f>SUM(I1597:I1598)</f>
        <v>0</v>
      </c>
      <c r="J1596" s="502">
        <f>I1596/F1596*100</f>
        <v>0</v>
      </c>
      <c r="K1596" s="333">
        <f t="shared" si="90"/>
        <v>0</v>
      </c>
      <c r="L1596" s="69">
        <f t="shared" si="85"/>
        <v>4562313.06</v>
      </c>
    </row>
    <row r="1597" spans="1:12" s="171" customFormat="1" ht="15" hidden="1">
      <c r="A1597" s="542"/>
      <c r="B1597" s="450"/>
      <c r="C1597" s="401"/>
      <c r="D1597" s="453"/>
      <c r="E1597" s="323" t="s">
        <v>75</v>
      </c>
      <c r="F1597" s="231">
        <v>4334197.4</v>
      </c>
      <c r="G1597" s="545"/>
      <c r="H1597" s="326"/>
      <c r="I1597" s="233"/>
      <c r="J1597" s="503"/>
      <c r="K1597" s="323"/>
      <c r="L1597" s="69">
        <f t="shared" si="85"/>
        <v>4334197.4</v>
      </c>
    </row>
    <row r="1598" spans="1:12" s="171" customFormat="1" ht="15" hidden="1">
      <c r="A1598" s="543"/>
      <c r="B1598" s="451"/>
      <c r="C1598" s="402"/>
      <c r="D1598" s="454"/>
      <c r="E1598" s="323" t="s">
        <v>18</v>
      </c>
      <c r="F1598" s="231">
        <v>228115.65999999922</v>
      </c>
      <c r="G1598" s="546"/>
      <c r="H1598" s="326"/>
      <c r="I1598" s="233"/>
      <c r="J1598" s="504"/>
      <c r="K1598" s="323"/>
      <c r="L1598" s="69">
        <f t="shared" si="85"/>
        <v>228115.65999999922</v>
      </c>
    </row>
    <row r="1599" spans="1:12" s="171" customFormat="1" ht="15" hidden="1">
      <c r="A1599" s="541">
        <v>72</v>
      </c>
      <c r="B1599" s="449" t="s">
        <v>517</v>
      </c>
      <c r="C1599" s="400"/>
      <c r="D1599" s="452"/>
      <c r="E1599" s="81" t="s">
        <v>34</v>
      </c>
      <c r="F1599" s="165">
        <f aca="true" t="shared" si="91" ref="F1599:K1599">SUM(F1600:F1601)</f>
        <v>10268067.36</v>
      </c>
      <c r="G1599" s="544"/>
      <c r="H1599" s="333">
        <f t="shared" si="91"/>
        <v>0</v>
      </c>
      <c r="I1599" s="333">
        <f>SUM(I1600:I1601)</f>
        <v>0</v>
      </c>
      <c r="J1599" s="502">
        <f>I1599/F1599*100</f>
        <v>0</v>
      </c>
      <c r="K1599" s="333">
        <f t="shared" si="91"/>
        <v>0</v>
      </c>
      <c r="L1599" s="69">
        <f t="shared" si="85"/>
        <v>10268067.36</v>
      </c>
    </row>
    <row r="1600" spans="1:12" s="171" customFormat="1" ht="15" hidden="1">
      <c r="A1600" s="542"/>
      <c r="B1600" s="450"/>
      <c r="C1600" s="401"/>
      <c r="D1600" s="453"/>
      <c r="E1600" s="323" t="s">
        <v>75</v>
      </c>
      <c r="F1600" s="231">
        <v>9754663.99</v>
      </c>
      <c r="G1600" s="545"/>
      <c r="H1600" s="326"/>
      <c r="I1600" s="233"/>
      <c r="J1600" s="503"/>
      <c r="K1600" s="323"/>
      <c r="L1600" s="69">
        <f t="shared" si="85"/>
        <v>9754663.99</v>
      </c>
    </row>
    <row r="1601" spans="1:12" s="171" customFormat="1" ht="18.75" customHeight="1" hidden="1">
      <c r="A1601" s="543"/>
      <c r="B1601" s="451"/>
      <c r="C1601" s="402"/>
      <c r="D1601" s="454"/>
      <c r="E1601" s="323" t="s">
        <v>18</v>
      </c>
      <c r="F1601" s="231">
        <v>513403.3699999992</v>
      </c>
      <c r="G1601" s="546"/>
      <c r="H1601" s="326"/>
      <c r="I1601" s="233"/>
      <c r="J1601" s="504"/>
      <c r="K1601" s="323"/>
      <c r="L1601" s="69">
        <f t="shared" si="85"/>
        <v>513403.3699999992</v>
      </c>
    </row>
    <row r="1602" spans="1:12" s="171" customFormat="1" ht="14.25" customHeight="1" hidden="1">
      <c r="A1602" s="541">
        <v>73</v>
      </c>
      <c r="B1602" s="449" t="s">
        <v>518</v>
      </c>
      <c r="C1602" s="400"/>
      <c r="D1602" s="400"/>
      <c r="E1602" s="81" t="s">
        <v>34</v>
      </c>
      <c r="F1602" s="165">
        <f>SUM(F1603:F1604)</f>
        <v>1982620.66</v>
      </c>
      <c r="G1602" s="544"/>
      <c r="H1602" s="326"/>
      <c r="I1602" s="74">
        <f>SUM(I1603:I1604)</f>
        <v>0</v>
      </c>
      <c r="J1602" s="502">
        <f>I1602/F1602*100</f>
        <v>0</v>
      </c>
      <c r="K1602" s="333">
        <f>SUM(K1603:K1604)</f>
        <v>0</v>
      </c>
      <c r="L1602" s="69">
        <f t="shared" si="85"/>
        <v>1982620.66</v>
      </c>
    </row>
    <row r="1603" spans="1:12" s="171" customFormat="1" ht="15" customHeight="1" hidden="1">
      <c r="A1603" s="542"/>
      <c r="B1603" s="450"/>
      <c r="C1603" s="401"/>
      <c r="D1603" s="401"/>
      <c r="E1603" s="323" t="s">
        <v>75</v>
      </c>
      <c r="F1603" s="231">
        <v>1883489.62</v>
      </c>
      <c r="G1603" s="545"/>
      <c r="H1603" s="326"/>
      <c r="I1603" s="245"/>
      <c r="J1603" s="503"/>
      <c r="K1603" s="323"/>
      <c r="L1603" s="69">
        <f t="shared" si="85"/>
        <v>1883489.62</v>
      </c>
    </row>
    <row r="1604" spans="1:12" s="171" customFormat="1" ht="17.25" customHeight="1" hidden="1">
      <c r="A1604" s="543"/>
      <c r="B1604" s="451"/>
      <c r="C1604" s="401"/>
      <c r="D1604" s="401"/>
      <c r="E1604" s="323" t="s">
        <v>18</v>
      </c>
      <c r="F1604" s="231">
        <v>99131.0399999998</v>
      </c>
      <c r="G1604" s="546"/>
      <c r="H1604" s="326"/>
      <c r="I1604" s="245"/>
      <c r="J1604" s="504"/>
      <c r="K1604" s="323"/>
      <c r="L1604" s="69">
        <f t="shared" si="85"/>
        <v>99131.0399999998</v>
      </c>
    </row>
    <row r="1605" spans="1:12" s="171" customFormat="1" ht="15" customHeight="1" hidden="1">
      <c r="A1605" s="541">
        <v>74</v>
      </c>
      <c r="B1605" s="449" t="s">
        <v>519</v>
      </c>
      <c r="C1605" s="400"/>
      <c r="D1605" s="400"/>
      <c r="E1605" s="81" t="s">
        <v>34</v>
      </c>
      <c r="F1605" s="165">
        <f>SUM(F1606:F1607)</f>
        <v>2554935.99</v>
      </c>
      <c r="G1605" s="544"/>
      <c r="H1605" s="326"/>
      <c r="I1605" s="333">
        <f>SUM(I1606:I1607)</f>
        <v>0</v>
      </c>
      <c r="J1605" s="502">
        <f>I1605/F1605*100</f>
        <v>0</v>
      </c>
      <c r="K1605" s="333">
        <f>SUM(K1606:K1607)</f>
        <v>0</v>
      </c>
      <c r="L1605" s="69">
        <f t="shared" si="85"/>
        <v>2554935.99</v>
      </c>
    </row>
    <row r="1606" spans="1:12" s="171" customFormat="1" ht="14.25" customHeight="1" hidden="1">
      <c r="A1606" s="542"/>
      <c r="B1606" s="450"/>
      <c r="C1606" s="401"/>
      <c r="D1606" s="401"/>
      <c r="E1606" s="323" t="s">
        <v>75</v>
      </c>
      <c r="F1606" s="231">
        <v>2427189.19</v>
      </c>
      <c r="G1606" s="545"/>
      <c r="H1606" s="326"/>
      <c r="I1606" s="233"/>
      <c r="J1606" s="503"/>
      <c r="K1606" s="323"/>
      <c r="L1606" s="69">
        <f t="shared" si="85"/>
        <v>2427189.19</v>
      </c>
    </row>
    <row r="1607" spans="1:12" s="171" customFormat="1" ht="15.75" customHeight="1" hidden="1">
      <c r="A1607" s="543"/>
      <c r="B1607" s="451"/>
      <c r="C1607" s="401"/>
      <c r="D1607" s="401"/>
      <c r="E1607" s="323" t="s">
        <v>18</v>
      </c>
      <c r="F1607" s="231">
        <v>127746.80000000028</v>
      </c>
      <c r="G1607" s="546"/>
      <c r="H1607" s="326"/>
      <c r="I1607" s="233"/>
      <c r="J1607" s="504"/>
      <c r="K1607" s="323"/>
      <c r="L1607" s="69">
        <f t="shared" si="85"/>
        <v>127746.80000000028</v>
      </c>
    </row>
    <row r="1608" spans="1:12" s="171" customFormat="1" ht="21" customHeight="1" hidden="1">
      <c r="A1608" s="541">
        <v>75</v>
      </c>
      <c r="B1608" s="449" t="s">
        <v>520</v>
      </c>
      <c r="C1608" s="400"/>
      <c r="D1608" s="452"/>
      <c r="E1608" s="81" t="s">
        <v>34</v>
      </c>
      <c r="F1608" s="165">
        <f aca="true" t="shared" si="92" ref="F1608:K1608">SUM(F1609:F1610)</f>
        <v>2554935.99</v>
      </c>
      <c r="G1608" s="544"/>
      <c r="H1608" s="333">
        <f t="shared" si="92"/>
        <v>0</v>
      </c>
      <c r="I1608" s="333">
        <f>SUM(I1609:I1610)</f>
        <v>0</v>
      </c>
      <c r="J1608" s="502">
        <f>I1608/F1608*100</f>
        <v>0</v>
      </c>
      <c r="K1608" s="333">
        <f t="shared" si="92"/>
        <v>0</v>
      </c>
      <c r="L1608" s="69">
        <f t="shared" si="85"/>
        <v>2554935.99</v>
      </c>
    </row>
    <row r="1609" spans="1:12" s="171" customFormat="1" ht="18" customHeight="1" hidden="1">
      <c r="A1609" s="542"/>
      <c r="B1609" s="450"/>
      <c r="C1609" s="401"/>
      <c r="D1609" s="453"/>
      <c r="E1609" s="323" t="s">
        <v>75</v>
      </c>
      <c r="F1609" s="237">
        <v>2427189.19</v>
      </c>
      <c r="G1609" s="545"/>
      <c r="H1609" s="326"/>
      <c r="I1609" s="247"/>
      <c r="J1609" s="503"/>
      <c r="K1609" s="323"/>
      <c r="L1609" s="69">
        <f t="shared" si="85"/>
        <v>2427189.19</v>
      </c>
    </row>
    <row r="1610" spans="1:12" s="171" customFormat="1" ht="24" customHeight="1" hidden="1">
      <c r="A1610" s="543"/>
      <c r="B1610" s="451"/>
      <c r="C1610" s="402"/>
      <c r="D1610" s="454"/>
      <c r="E1610" s="323" t="s">
        <v>18</v>
      </c>
      <c r="F1610" s="237">
        <v>127746.80000000028</v>
      </c>
      <c r="G1610" s="546"/>
      <c r="H1610" s="326"/>
      <c r="I1610" s="247"/>
      <c r="J1610" s="504"/>
      <c r="K1610" s="323"/>
      <c r="L1610" s="69">
        <f t="shared" si="85"/>
        <v>127746.80000000028</v>
      </c>
    </row>
    <row r="1611" spans="1:12" s="171" customFormat="1" ht="15" hidden="1">
      <c r="A1611" s="541">
        <v>76</v>
      </c>
      <c r="B1611" s="449" t="s">
        <v>521</v>
      </c>
      <c r="C1611" s="400"/>
      <c r="D1611" s="400"/>
      <c r="E1611" s="81" t="s">
        <v>34</v>
      </c>
      <c r="F1611" s="165">
        <f>SUM(F1612:F1613)</f>
        <v>5263157.9</v>
      </c>
      <c r="G1611" s="544"/>
      <c r="H1611" s="326"/>
      <c r="I1611" s="333">
        <f>SUM(I1612:I1613)</f>
        <v>0</v>
      </c>
      <c r="J1611" s="502">
        <f>I1611/F1611*100</f>
        <v>0</v>
      </c>
      <c r="K1611" s="333">
        <f>SUM(K1612:K1613)</f>
        <v>0</v>
      </c>
      <c r="L1611" s="69">
        <f t="shared" si="85"/>
        <v>5263157.9</v>
      </c>
    </row>
    <row r="1612" spans="1:12" s="171" customFormat="1" ht="15" hidden="1">
      <c r="A1612" s="542"/>
      <c r="B1612" s="450"/>
      <c r="C1612" s="401"/>
      <c r="D1612" s="401"/>
      <c r="E1612" s="323" t="s">
        <v>75</v>
      </c>
      <c r="F1612" s="231">
        <v>5000000</v>
      </c>
      <c r="G1612" s="545"/>
      <c r="H1612" s="326"/>
      <c r="I1612" s="323"/>
      <c r="J1612" s="503"/>
      <c r="K1612" s="323"/>
      <c r="L1612" s="69">
        <f t="shared" si="85"/>
        <v>5000000</v>
      </c>
    </row>
    <row r="1613" spans="1:12" s="171" customFormat="1" ht="15" hidden="1">
      <c r="A1613" s="543"/>
      <c r="B1613" s="451"/>
      <c r="C1613" s="401"/>
      <c r="D1613" s="401"/>
      <c r="E1613" s="323" t="s">
        <v>18</v>
      </c>
      <c r="F1613" s="231">
        <v>263157.9000000004</v>
      </c>
      <c r="G1613" s="546"/>
      <c r="H1613" s="326"/>
      <c r="I1613" s="323"/>
      <c r="J1613" s="504"/>
      <c r="K1613" s="323"/>
      <c r="L1613" s="69">
        <f t="shared" si="85"/>
        <v>263157.9000000004</v>
      </c>
    </row>
    <row r="1614" spans="1:12" s="171" customFormat="1" ht="15" hidden="1">
      <c r="A1614" s="541">
        <v>77</v>
      </c>
      <c r="B1614" s="455" t="s">
        <v>522</v>
      </c>
      <c r="C1614" s="458"/>
      <c r="D1614" s="461"/>
      <c r="E1614" s="81" t="s">
        <v>34</v>
      </c>
      <c r="F1614" s="165">
        <f aca="true" t="shared" si="93" ref="F1614:K1614">SUM(F1615:F1616)</f>
        <v>875348.78</v>
      </c>
      <c r="G1614" s="550"/>
      <c r="H1614" s="74">
        <f t="shared" si="93"/>
        <v>0</v>
      </c>
      <c r="I1614" s="74">
        <f>SUM(I1615:I1616)</f>
        <v>0</v>
      </c>
      <c r="J1614" s="553">
        <f>I1614/F1614*100</f>
        <v>0</v>
      </c>
      <c r="K1614" s="74">
        <f t="shared" si="93"/>
        <v>0</v>
      </c>
      <c r="L1614" s="69">
        <f t="shared" si="85"/>
        <v>875348.78</v>
      </c>
    </row>
    <row r="1615" spans="1:12" s="171" customFormat="1" ht="15" hidden="1">
      <c r="A1615" s="542"/>
      <c r="B1615" s="456"/>
      <c r="C1615" s="459"/>
      <c r="D1615" s="462"/>
      <c r="E1615" s="75" t="s">
        <v>75</v>
      </c>
      <c r="F1615" s="231">
        <v>831581.34</v>
      </c>
      <c r="G1615" s="551"/>
      <c r="H1615" s="106"/>
      <c r="I1615" s="245"/>
      <c r="J1615" s="554"/>
      <c r="K1615" s="75"/>
      <c r="L1615" s="69">
        <f t="shared" si="85"/>
        <v>831581.34</v>
      </c>
    </row>
    <row r="1616" spans="1:12" s="171" customFormat="1" ht="15" hidden="1">
      <c r="A1616" s="543"/>
      <c r="B1616" s="457"/>
      <c r="C1616" s="460"/>
      <c r="D1616" s="463"/>
      <c r="E1616" s="75" t="s">
        <v>18</v>
      </c>
      <c r="F1616" s="231">
        <v>43767.44000000006</v>
      </c>
      <c r="G1616" s="552"/>
      <c r="H1616" s="106"/>
      <c r="I1616" s="245"/>
      <c r="J1616" s="555"/>
      <c r="K1616" s="75"/>
      <c r="L1616" s="69">
        <f t="shared" si="85"/>
        <v>43767.44000000006</v>
      </c>
    </row>
    <row r="1617" spans="1:12" s="171" customFormat="1" ht="15" hidden="1">
      <c r="A1617" s="541">
        <v>78</v>
      </c>
      <c r="B1617" s="449" t="s">
        <v>523</v>
      </c>
      <c r="C1617" s="400"/>
      <c r="D1617" s="452"/>
      <c r="E1617" s="81" t="s">
        <v>34</v>
      </c>
      <c r="F1617" s="165">
        <f aca="true" t="shared" si="94" ref="F1617:K1617">SUM(F1618:F1619)</f>
        <v>5960596.54</v>
      </c>
      <c r="G1617" s="544"/>
      <c r="H1617" s="333">
        <f t="shared" si="94"/>
        <v>0</v>
      </c>
      <c r="I1617" s="333">
        <f>SUM(I1618:I1619)</f>
        <v>0</v>
      </c>
      <c r="J1617" s="502">
        <f>I1617/F1617*100</f>
        <v>0</v>
      </c>
      <c r="K1617" s="333">
        <f t="shared" si="94"/>
        <v>0</v>
      </c>
      <c r="L1617" s="69">
        <f t="shared" si="85"/>
        <v>5960596.54</v>
      </c>
    </row>
    <row r="1618" spans="1:12" s="171" customFormat="1" ht="15" hidden="1">
      <c r="A1618" s="542"/>
      <c r="B1618" s="450"/>
      <c r="C1618" s="401"/>
      <c r="D1618" s="453"/>
      <c r="E1618" s="323" t="s">
        <v>75</v>
      </c>
      <c r="F1618" s="231">
        <v>5662566.71</v>
      </c>
      <c r="G1618" s="545"/>
      <c r="H1618" s="326"/>
      <c r="I1618" s="233"/>
      <c r="J1618" s="503"/>
      <c r="K1618" s="323"/>
      <c r="L1618" s="69">
        <f t="shared" si="85"/>
        <v>5662566.71</v>
      </c>
    </row>
    <row r="1619" spans="1:12" s="171" customFormat="1" ht="15" hidden="1">
      <c r="A1619" s="543"/>
      <c r="B1619" s="451"/>
      <c r="C1619" s="402"/>
      <c r="D1619" s="454"/>
      <c r="E1619" s="323" t="s">
        <v>18</v>
      </c>
      <c r="F1619" s="231">
        <v>298029.8300000001</v>
      </c>
      <c r="G1619" s="546"/>
      <c r="H1619" s="326"/>
      <c r="I1619" s="233"/>
      <c r="J1619" s="504"/>
      <c r="K1619" s="323"/>
      <c r="L1619" s="69">
        <f t="shared" si="85"/>
        <v>298029.8300000001</v>
      </c>
    </row>
    <row r="1620" spans="1:12" s="171" customFormat="1" ht="15" hidden="1">
      <c r="A1620" s="541">
        <v>79</v>
      </c>
      <c r="B1620" s="449" t="s">
        <v>524</v>
      </c>
      <c r="C1620" s="400"/>
      <c r="D1620" s="452"/>
      <c r="E1620" s="81" t="s">
        <v>34</v>
      </c>
      <c r="F1620" s="165">
        <f aca="true" t="shared" si="95" ref="F1620:K1620">SUM(F1621:F1622)</f>
        <v>265520.06</v>
      </c>
      <c r="G1620" s="544"/>
      <c r="H1620" s="333">
        <f t="shared" si="95"/>
        <v>0</v>
      </c>
      <c r="I1620" s="333">
        <f>SUM(I1621:I1622)</f>
        <v>0</v>
      </c>
      <c r="J1620" s="502">
        <f>I1620/F1620*100</f>
        <v>0</v>
      </c>
      <c r="K1620" s="333">
        <f t="shared" si="95"/>
        <v>0</v>
      </c>
      <c r="L1620" s="69">
        <f t="shared" si="85"/>
        <v>265520.06</v>
      </c>
    </row>
    <row r="1621" spans="1:12" s="171" customFormat="1" ht="15" hidden="1">
      <c r="A1621" s="542"/>
      <c r="B1621" s="450"/>
      <c r="C1621" s="401"/>
      <c r="D1621" s="453"/>
      <c r="E1621" s="323" t="s">
        <v>75</v>
      </c>
      <c r="F1621" s="231">
        <v>252244</v>
      </c>
      <c r="G1621" s="545"/>
      <c r="H1621" s="326"/>
      <c r="I1621" s="233"/>
      <c r="J1621" s="503"/>
      <c r="K1621" s="323"/>
      <c r="L1621" s="69">
        <f t="shared" si="85"/>
        <v>252244</v>
      </c>
    </row>
    <row r="1622" spans="1:12" s="171" customFormat="1" ht="15" hidden="1">
      <c r="A1622" s="543"/>
      <c r="B1622" s="451"/>
      <c r="C1622" s="402"/>
      <c r="D1622" s="454"/>
      <c r="E1622" s="323" t="s">
        <v>18</v>
      </c>
      <c r="F1622" s="231">
        <v>13276.059999999998</v>
      </c>
      <c r="G1622" s="546"/>
      <c r="H1622" s="326"/>
      <c r="I1622" s="233"/>
      <c r="J1622" s="504"/>
      <c r="K1622" s="323"/>
      <c r="L1622" s="69">
        <f t="shared" si="85"/>
        <v>13276.059999999998</v>
      </c>
    </row>
    <row r="1623" spans="1:12" s="171" customFormat="1" ht="18.75" customHeight="1" hidden="1">
      <c r="A1623" s="541">
        <v>80</v>
      </c>
      <c r="B1623" s="449" t="s">
        <v>525</v>
      </c>
      <c r="C1623" s="400"/>
      <c r="D1623" s="452"/>
      <c r="E1623" s="81" t="s">
        <v>34</v>
      </c>
      <c r="F1623" s="165">
        <f aca="true" t="shared" si="96" ref="F1623:K1623">SUM(F1624:F1625)</f>
        <v>2136969.38</v>
      </c>
      <c r="G1623" s="544"/>
      <c r="H1623" s="333">
        <f t="shared" si="96"/>
        <v>0</v>
      </c>
      <c r="I1623" s="333">
        <f>SUM(I1624:I1625)</f>
        <v>0</v>
      </c>
      <c r="J1623" s="502">
        <f>I1623/F1623*100</f>
        <v>0</v>
      </c>
      <c r="K1623" s="333">
        <f t="shared" si="96"/>
        <v>0</v>
      </c>
      <c r="L1623" s="69">
        <f t="shared" si="85"/>
        <v>2136969.38</v>
      </c>
    </row>
    <row r="1624" spans="1:12" s="171" customFormat="1" ht="15" customHeight="1" hidden="1">
      <c r="A1624" s="542"/>
      <c r="B1624" s="450"/>
      <c r="C1624" s="401"/>
      <c r="D1624" s="453"/>
      <c r="E1624" s="323" t="s">
        <v>75</v>
      </c>
      <c r="F1624" s="231">
        <v>2007190.82</v>
      </c>
      <c r="G1624" s="545"/>
      <c r="H1624" s="326"/>
      <c r="I1624" s="323"/>
      <c r="J1624" s="503"/>
      <c r="K1624" s="323"/>
      <c r="L1624" s="69">
        <f t="shared" si="85"/>
        <v>2007190.82</v>
      </c>
    </row>
    <row r="1625" spans="1:12" s="171" customFormat="1" ht="18" customHeight="1" hidden="1">
      <c r="A1625" s="543"/>
      <c r="B1625" s="451"/>
      <c r="C1625" s="402"/>
      <c r="D1625" s="454"/>
      <c r="E1625" s="323" t="s">
        <v>18</v>
      </c>
      <c r="F1625" s="231">
        <v>129778.55999999982</v>
      </c>
      <c r="G1625" s="546"/>
      <c r="H1625" s="326"/>
      <c r="I1625" s="323"/>
      <c r="J1625" s="504"/>
      <c r="K1625" s="323"/>
      <c r="L1625" s="69">
        <f t="shared" si="85"/>
        <v>129778.55999999982</v>
      </c>
    </row>
    <row r="1626" spans="1:12" s="171" customFormat="1" ht="15" hidden="1">
      <c r="A1626" s="541">
        <v>81</v>
      </c>
      <c r="B1626" s="449" t="s">
        <v>526</v>
      </c>
      <c r="C1626" s="400"/>
      <c r="D1626" s="452"/>
      <c r="E1626" s="81" t="s">
        <v>34</v>
      </c>
      <c r="F1626" s="165">
        <f aca="true" t="shared" si="97" ref="F1626:K1626">SUM(F1627:F1628)</f>
        <v>2455727.5</v>
      </c>
      <c r="G1626" s="544"/>
      <c r="H1626" s="333">
        <f t="shared" si="97"/>
        <v>0</v>
      </c>
      <c r="I1626" s="333">
        <f>SUM(I1627:I1628)</f>
        <v>0</v>
      </c>
      <c r="J1626" s="502">
        <f>I1626/F1626*100</f>
        <v>0</v>
      </c>
      <c r="K1626" s="333">
        <f t="shared" si="97"/>
        <v>0</v>
      </c>
      <c r="L1626" s="69">
        <f t="shared" si="85"/>
        <v>2455727.5</v>
      </c>
    </row>
    <row r="1627" spans="1:12" s="171" customFormat="1" ht="15" hidden="1">
      <c r="A1627" s="542"/>
      <c r="B1627" s="450"/>
      <c r="C1627" s="401"/>
      <c r="D1627" s="453"/>
      <c r="E1627" s="323" t="s">
        <v>75</v>
      </c>
      <c r="F1627" s="231">
        <v>2332941.1</v>
      </c>
      <c r="G1627" s="545"/>
      <c r="H1627" s="326"/>
      <c r="I1627" s="233"/>
      <c r="J1627" s="503"/>
      <c r="K1627" s="323"/>
      <c r="L1627" s="69">
        <f t="shared" si="85"/>
        <v>2332941.1</v>
      </c>
    </row>
    <row r="1628" spans="1:12" s="171" customFormat="1" ht="15" hidden="1">
      <c r="A1628" s="543"/>
      <c r="B1628" s="451"/>
      <c r="C1628" s="402"/>
      <c r="D1628" s="454"/>
      <c r="E1628" s="323" t="s">
        <v>18</v>
      </c>
      <c r="F1628" s="231">
        <v>122786.3999999999</v>
      </c>
      <c r="G1628" s="546"/>
      <c r="H1628" s="326"/>
      <c r="I1628" s="233"/>
      <c r="J1628" s="504"/>
      <c r="K1628" s="323"/>
      <c r="L1628" s="69">
        <f t="shared" si="85"/>
        <v>122786.3999999999</v>
      </c>
    </row>
    <row r="1629" spans="1:12" s="171" customFormat="1" ht="15" hidden="1">
      <c r="A1629" s="541">
        <v>82</v>
      </c>
      <c r="B1629" s="449" t="s">
        <v>527</v>
      </c>
      <c r="C1629" s="400"/>
      <c r="D1629" s="452"/>
      <c r="E1629" s="81" t="s">
        <v>34</v>
      </c>
      <c r="F1629" s="165">
        <f aca="true" t="shared" si="98" ref="F1629:K1629">SUM(F1630:F1631)</f>
        <v>1620591.94</v>
      </c>
      <c r="G1629" s="544"/>
      <c r="H1629" s="333">
        <f t="shared" si="98"/>
        <v>0</v>
      </c>
      <c r="I1629" s="333">
        <f>SUM(I1630:I1631)</f>
        <v>0</v>
      </c>
      <c r="J1629" s="502">
        <f>I1629/F1629*100</f>
        <v>0</v>
      </c>
      <c r="K1629" s="333">
        <f t="shared" si="98"/>
        <v>0</v>
      </c>
      <c r="L1629" s="69">
        <f t="shared" si="85"/>
        <v>1620591.94</v>
      </c>
    </row>
    <row r="1630" spans="1:12" s="171" customFormat="1" ht="15" hidden="1">
      <c r="A1630" s="542"/>
      <c r="B1630" s="450"/>
      <c r="C1630" s="401"/>
      <c r="D1630" s="453"/>
      <c r="E1630" s="323" t="s">
        <v>75</v>
      </c>
      <c r="F1630" s="231">
        <v>1535699</v>
      </c>
      <c r="G1630" s="545"/>
      <c r="H1630" s="326"/>
      <c r="I1630" s="233"/>
      <c r="J1630" s="503"/>
      <c r="K1630" s="323"/>
      <c r="L1630" s="69">
        <f t="shared" si="85"/>
        <v>1535699</v>
      </c>
    </row>
    <row r="1631" spans="1:12" s="171" customFormat="1" ht="15" hidden="1">
      <c r="A1631" s="543"/>
      <c r="B1631" s="451"/>
      <c r="C1631" s="402"/>
      <c r="D1631" s="454"/>
      <c r="E1631" s="323" t="s">
        <v>18</v>
      </c>
      <c r="F1631" s="231">
        <v>84892.93999999994</v>
      </c>
      <c r="G1631" s="546"/>
      <c r="H1631" s="326"/>
      <c r="I1631" s="233"/>
      <c r="J1631" s="504"/>
      <c r="K1631" s="323"/>
      <c r="L1631" s="69">
        <f t="shared" si="85"/>
        <v>84892.93999999994</v>
      </c>
    </row>
    <row r="1632" spans="1:12" s="171" customFormat="1" ht="15" customHeight="1" hidden="1">
      <c r="A1632" s="541">
        <v>83</v>
      </c>
      <c r="B1632" s="455" t="s">
        <v>528</v>
      </c>
      <c r="C1632" s="458"/>
      <c r="D1632" s="461"/>
      <c r="E1632" s="81" t="s">
        <v>34</v>
      </c>
      <c r="F1632" s="165">
        <f aca="true" t="shared" si="99" ref="F1632:K1632">SUM(F1633:F1634)</f>
        <v>1472937.36</v>
      </c>
      <c r="G1632" s="544"/>
      <c r="H1632" s="74">
        <f t="shared" si="99"/>
        <v>0</v>
      </c>
      <c r="I1632" s="74">
        <f>SUM(I1633:I1634)</f>
        <v>0</v>
      </c>
      <c r="J1632" s="502">
        <f>I1632/F1632*100</f>
        <v>0</v>
      </c>
      <c r="K1632" s="74">
        <f t="shared" si="99"/>
        <v>0</v>
      </c>
      <c r="L1632" s="69">
        <f t="shared" si="85"/>
        <v>1472937.36</v>
      </c>
    </row>
    <row r="1633" spans="1:12" s="171" customFormat="1" ht="15" hidden="1">
      <c r="A1633" s="542"/>
      <c r="B1633" s="456"/>
      <c r="C1633" s="459"/>
      <c r="D1633" s="462"/>
      <c r="E1633" s="75" t="s">
        <v>75</v>
      </c>
      <c r="F1633" s="231">
        <v>1399290.49</v>
      </c>
      <c r="G1633" s="545"/>
      <c r="H1633" s="106"/>
      <c r="I1633" s="245"/>
      <c r="J1633" s="503"/>
      <c r="K1633" s="75"/>
      <c r="L1633" s="69">
        <f t="shared" si="85"/>
        <v>1399290.49</v>
      </c>
    </row>
    <row r="1634" spans="1:12" s="171" customFormat="1" ht="15" hidden="1">
      <c r="A1634" s="543"/>
      <c r="B1634" s="457"/>
      <c r="C1634" s="460"/>
      <c r="D1634" s="463"/>
      <c r="E1634" s="75" t="s">
        <v>18</v>
      </c>
      <c r="F1634" s="231">
        <v>73646.87000000011</v>
      </c>
      <c r="G1634" s="546"/>
      <c r="H1634" s="106"/>
      <c r="I1634" s="245"/>
      <c r="J1634" s="504"/>
      <c r="K1634" s="75"/>
      <c r="L1634" s="69">
        <f t="shared" si="85"/>
        <v>73646.87000000011</v>
      </c>
    </row>
    <row r="1635" spans="1:12" s="171" customFormat="1" ht="15" hidden="1">
      <c r="A1635" s="541">
        <v>84</v>
      </c>
      <c r="B1635" s="455" t="s">
        <v>529</v>
      </c>
      <c r="C1635" s="458"/>
      <c r="D1635" s="461"/>
      <c r="E1635" s="81" t="s">
        <v>34</v>
      </c>
      <c r="F1635" s="165">
        <f aca="true" t="shared" si="100" ref="F1635:K1635">SUM(F1636:F1637)</f>
        <v>4959708.74</v>
      </c>
      <c r="G1635" s="550"/>
      <c r="H1635" s="74">
        <f t="shared" si="100"/>
        <v>0</v>
      </c>
      <c r="I1635" s="74">
        <f>SUM(I1636:I1637)</f>
        <v>0</v>
      </c>
      <c r="J1635" s="553">
        <f t="shared" si="100"/>
        <v>0</v>
      </c>
      <c r="K1635" s="74">
        <f t="shared" si="100"/>
        <v>0</v>
      </c>
      <c r="L1635" s="69">
        <f t="shared" si="85"/>
        <v>4959708.74</v>
      </c>
    </row>
    <row r="1636" spans="1:12" s="171" customFormat="1" ht="23.25" customHeight="1" hidden="1">
      <c r="A1636" s="542"/>
      <c r="B1636" s="456"/>
      <c r="C1636" s="459"/>
      <c r="D1636" s="462"/>
      <c r="E1636" s="75" t="s">
        <v>75</v>
      </c>
      <c r="F1636" s="231">
        <v>4711723</v>
      </c>
      <c r="G1636" s="551"/>
      <c r="H1636" s="106"/>
      <c r="I1636" s="245">
        <v>0</v>
      </c>
      <c r="J1636" s="554"/>
      <c r="K1636" s="75"/>
      <c r="L1636" s="69">
        <f t="shared" si="85"/>
        <v>4711723</v>
      </c>
    </row>
    <row r="1637" spans="1:12" s="171" customFormat="1" ht="15" hidden="1">
      <c r="A1637" s="543"/>
      <c r="B1637" s="457"/>
      <c r="C1637" s="460"/>
      <c r="D1637" s="463"/>
      <c r="E1637" s="75" t="s">
        <v>18</v>
      </c>
      <c r="F1637" s="231">
        <v>247985.74000000022</v>
      </c>
      <c r="G1637" s="552"/>
      <c r="H1637" s="106"/>
      <c r="I1637" s="245">
        <v>0</v>
      </c>
      <c r="J1637" s="555"/>
      <c r="K1637" s="75"/>
      <c r="L1637" s="69">
        <f t="shared" si="85"/>
        <v>247985.74000000022</v>
      </c>
    </row>
    <row r="1638" spans="1:12" s="171" customFormat="1" ht="15" hidden="1">
      <c r="A1638" s="541">
        <v>85</v>
      </c>
      <c r="B1638" s="449" t="s">
        <v>530</v>
      </c>
      <c r="C1638" s="400"/>
      <c r="D1638" s="452"/>
      <c r="E1638" s="81" t="s">
        <v>34</v>
      </c>
      <c r="F1638" s="165">
        <f aca="true" t="shared" si="101" ref="F1638:K1638">SUM(F1639:F1640)</f>
        <v>10996376.34</v>
      </c>
      <c r="G1638" s="544"/>
      <c r="H1638" s="333">
        <f t="shared" si="101"/>
        <v>0</v>
      </c>
      <c r="I1638" s="333">
        <f>SUM(I1639:I1640)</f>
        <v>0</v>
      </c>
      <c r="J1638" s="502">
        <f>I1638/F1638*100</f>
        <v>0</v>
      </c>
      <c r="K1638" s="333">
        <f t="shared" si="101"/>
        <v>0</v>
      </c>
      <c r="L1638" s="69">
        <f t="shared" si="85"/>
        <v>10996376.34</v>
      </c>
    </row>
    <row r="1639" spans="1:12" s="171" customFormat="1" ht="15" hidden="1">
      <c r="A1639" s="542"/>
      <c r="B1639" s="450"/>
      <c r="C1639" s="401"/>
      <c r="D1639" s="453"/>
      <c r="E1639" s="323" t="s">
        <v>75</v>
      </c>
      <c r="F1639" s="231">
        <v>10000000</v>
      </c>
      <c r="G1639" s="545"/>
      <c r="H1639" s="326"/>
      <c r="I1639" s="233"/>
      <c r="J1639" s="503"/>
      <c r="K1639" s="323"/>
      <c r="L1639" s="69">
        <f t="shared" si="85"/>
        <v>10000000</v>
      </c>
    </row>
    <row r="1640" spans="1:12" s="171" customFormat="1" ht="15" hidden="1">
      <c r="A1640" s="543"/>
      <c r="B1640" s="451"/>
      <c r="C1640" s="402"/>
      <c r="D1640" s="454"/>
      <c r="E1640" s="323" t="s">
        <v>18</v>
      </c>
      <c r="F1640" s="231">
        <v>996376.3399999999</v>
      </c>
      <c r="G1640" s="546"/>
      <c r="H1640" s="326"/>
      <c r="I1640" s="233"/>
      <c r="J1640" s="504"/>
      <c r="K1640" s="323"/>
      <c r="L1640" s="69">
        <f t="shared" si="85"/>
        <v>996376.3399999999</v>
      </c>
    </row>
    <row r="1641" spans="1:12" s="171" customFormat="1" ht="15" hidden="1">
      <c r="A1641" s="541">
        <v>86</v>
      </c>
      <c r="B1641" s="449" t="s">
        <v>531</v>
      </c>
      <c r="C1641" s="400"/>
      <c r="D1641" s="452"/>
      <c r="E1641" s="81" t="s">
        <v>34</v>
      </c>
      <c r="F1641" s="165">
        <f aca="true" t="shared" si="102" ref="F1641:K1641">SUM(F1642:F1643)</f>
        <v>1490929</v>
      </c>
      <c r="G1641" s="544"/>
      <c r="H1641" s="333">
        <f t="shared" si="102"/>
        <v>0</v>
      </c>
      <c r="I1641" s="333">
        <f>SUM(I1642:I1643)</f>
        <v>0</v>
      </c>
      <c r="J1641" s="502">
        <f>I1641/F1641*100</f>
        <v>0</v>
      </c>
      <c r="K1641" s="333">
        <f t="shared" si="102"/>
        <v>0</v>
      </c>
      <c r="L1641" s="69">
        <f t="shared" si="85"/>
        <v>1490929</v>
      </c>
    </row>
    <row r="1642" spans="1:12" s="171" customFormat="1" ht="15" hidden="1">
      <c r="A1642" s="542"/>
      <c r="B1642" s="450"/>
      <c r="C1642" s="401"/>
      <c r="D1642" s="453"/>
      <c r="E1642" s="323" t="s">
        <v>75</v>
      </c>
      <c r="F1642" s="231">
        <v>1415929</v>
      </c>
      <c r="G1642" s="545"/>
      <c r="H1642" s="326"/>
      <c r="I1642" s="233"/>
      <c r="J1642" s="503"/>
      <c r="K1642" s="323"/>
      <c r="L1642" s="69">
        <f aca="true" t="shared" si="103" ref="L1642:L1705">F1642-K1642</f>
        <v>1415929</v>
      </c>
    </row>
    <row r="1643" spans="1:12" s="171" customFormat="1" ht="15" hidden="1">
      <c r="A1643" s="543"/>
      <c r="B1643" s="451"/>
      <c r="C1643" s="402"/>
      <c r="D1643" s="454"/>
      <c r="E1643" s="323" t="s">
        <v>18</v>
      </c>
      <c r="F1643" s="231">
        <v>75000</v>
      </c>
      <c r="G1643" s="546"/>
      <c r="H1643" s="326"/>
      <c r="I1643" s="233"/>
      <c r="J1643" s="504"/>
      <c r="K1643" s="323"/>
      <c r="L1643" s="69">
        <f t="shared" si="103"/>
        <v>75000</v>
      </c>
    </row>
    <row r="1644" spans="1:12" s="171" customFormat="1" ht="15" hidden="1">
      <c r="A1644" s="541">
        <v>87</v>
      </c>
      <c r="B1644" s="449" t="s">
        <v>532</v>
      </c>
      <c r="C1644" s="400"/>
      <c r="D1644" s="452"/>
      <c r="E1644" s="81" t="s">
        <v>34</v>
      </c>
      <c r="F1644" s="165">
        <f aca="true" t="shared" si="104" ref="F1644:K1644">SUM(F1645:F1646)</f>
        <v>2491303</v>
      </c>
      <c r="G1644" s="544"/>
      <c r="H1644" s="333">
        <f t="shared" si="104"/>
        <v>0</v>
      </c>
      <c r="I1644" s="333">
        <f>SUM(I1645:I1646)</f>
        <v>0</v>
      </c>
      <c r="J1644" s="502">
        <f>I1644/F1644*100</f>
        <v>0</v>
      </c>
      <c r="K1644" s="333">
        <f t="shared" si="104"/>
        <v>0</v>
      </c>
      <c r="L1644" s="69">
        <f t="shared" si="103"/>
        <v>2491303</v>
      </c>
    </row>
    <row r="1645" spans="1:12" s="171" customFormat="1" ht="15" hidden="1">
      <c r="A1645" s="542"/>
      <c r="B1645" s="450"/>
      <c r="C1645" s="401"/>
      <c r="D1645" s="453"/>
      <c r="E1645" s="323" t="s">
        <v>75</v>
      </c>
      <c r="F1645" s="231">
        <v>2364803</v>
      </c>
      <c r="G1645" s="545"/>
      <c r="H1645" s="326"/>
      <c r="I1645" s="233"/>
      <c r="J1645" s="503"/>
      <c r="K1645" s="323"/>
      <c r="L1645" s="69">
        <f t="shared" si="103"/>
        <v>2364803</v>
      </c>
    </row>
    <row r="1646" spans="1:12" s="171" customFormat="1" ht="15" hidden="1">
      <c r="A1646" s="543"/>
      <c r="B1646" s="451"/>
      <c r="C1646" s="402"/>
      <c r="D1646" s="454"/>
      <c r="E1646" s="323" t="s">
        <v>18</v>
      </c>
      <c r="F1646" s="231">
        <v>126500</v>
      </c>
      <c r="G1646" s="546"/>
      <c r="H1646" s="326"/>
      <c r="I1646" s="233"/>
      <c r="J1646" s="504"/>
      <c r="K1646" s="323"/>
      <c r="L1646" s="69">
        <f t="shared" si="103"/>
        <v>126500</v>
      </c>
    </row>
    <row r="1647" spans="1:12" s="171" customFormat="1" ht="15" hidden="1">
      <c r="A1647" s="541">
        <v>88</v>
      </c>
      <c r="B1647" s="449" t="s">
        <v>533</v>
      </c>
      <c r="C1647" s="400"/>
      <c r="D1647" s="452"/>
      <c r="E1647" s="81" t="s">
        <v>34</v>
      </c>
      <c r="F1647" s="165">
        <f aca="true" t="shared" si="105" ref="F1647:K1647">SUM(F1648:F1649)</f>
        <v>6145165.8</v>
      </c>
      <c r="G1647" s="544"/>
      <c r="H1647" s="333">
        <f t="shared" si="105"/>
        <v>0</v>
      </c>
      <c r="I1647" s="333">
        <f>SUM(I1648:I1649)</f>
        <v>0</v>
      </c>
      <c r="J1647" s="502">
        <f>I1647/F1647*100</f>
        <v>0</v>
      </c>
      <c r="K1647" s="333">
        <f t="shared" si="105"/>
        <v>0</v>
      </c>
      <c r="L1647" s="69">
        <f t="shared" si="103"/>
        <v>6145165.8</v>
      </c>
    </row>
    <row r="1648" spans="1:12" s="171" customFormat="1" ht="15" hidden="1">
      <c r="A1648" s="542"/>
      <c r="B1648" s="450"/>
      <c r="C1648" s="401"/>
      <c r="D1648" s="453"/>
      <c r="E1648" s="323" t="s">
        <v>75</v>
      </c>
      <c r="F1648" s="237">
        <v>5837906.8</v>
      </c>
      <c r="G1648" s="545"/>
      <c r="H1648" s="323"/>
      <c r="I1648" s="247"/>
      <c r="J1648" s="503"/>
      <c r="K1648" s="323"/>
      <c r="L1648" s="69">
        <f t="shared" si="103"/>
        <v>5837906.8</v>
      </c>
    </row>
    <row r="1649" spans="1:12" s="171" customFormat="1" ht="15" hidden="1">
      <c r="A1649" s="543"/>
      <c r="B1649" s="451"/>
      <c r="C1649" s="402"/>
      <c r="D1649" s="454"/>
      <c r="E1649" s="323" t="s">
        <v>18</v>
      </c>
      <c r="F1649" s="237">
        <v>307259</v>
      </c>
      <c r="G1649" s="546"/>
      <c r="H1649" s="323"/>
      <c r="I1649" s="247"/>
      <c r="J1649" s="504"/>
      <c r="K1649" s="323"/>
      <c r="L1649" s="69">
        <f t="shared" si="103"/>
        <v>307259</v>
      </c>
    </row>
    <row r="1650" spans="1:12" s="171" customFormat="1" ht="15" hidden="1">
      <c r="A1650" s="541">
        <v>89</v>
      </c>
      <c r="B1650" s="449" t="s">
        <v>534</v>
      </c>
      <c r="C1650" s="400"/>
      <c r="D1650" s="452"/>
      <c r="E1650" s="81" t="s">
        <v>34</v>
      </c>
      <c r="F1650" s="165">
        <f aca="true" t="shared" si="106" ref="F1650:K1650">SUM(F1651:F1652)</f>
        <v>2000000.88</v>
      </c>
      <c r="G1650" s="544"/>
      <c r="H1650" s="333">
        <f t="shared" si="106"/>
        <v>0</v>
      </c>
      <c r="I1650" s="333">
        <f>SUM(I1651:I1652)</f>
        <v>0</v>
      </c>
      <c r="J1650" s="502">
        <f>I1650/F1650*100</f>
        <v>0</v>
      </c>
      <c r="K1650" s="333">
        <f t="shared" si="106"/>
        <v>0</v>
      </c>
      <c r="L1650" s="69">
        <f t="shared" si="103"/>
        <v>2000000.88</v>
      </c>
    </row>
    <row r="1651" spans="1:12" s="171" customFormat="1" ht="15" hidden="1">
      <c r="A1651" s="542"/>
      <c r="B1651" s="450"/>
      <c r="C1651" s="401"/>
      <c r="D1651" s="453"/>
      <c r="E1651" s="323" t="s">
        <v>75</v>
      </c>
      <c r="F1651" s="231">
        <v>1900000</v>
      </c>
      <c r="G1651" s="545"/>
      <c r="H1651" s="326"/>
      <c r="I1651" s="233"/>
      <c r="J1651" s="503"/>
      <c r="K1651" s="323"/>
      <c r="L1651" s="69">
        <f t="shared" si="103"/>
        <v>1900000</v>
      </c>
    </row>
    <row r="1652" spans="1:12" s="171" customFormat="1" ht="15" hidden="1">
      <c r="A1652" s="543"/>
      <c r="B1652" s="451"/>
      <c r="C1652" s="402"/>
      <c r="D1652" s="454"/>
      <c r="E1652" s="323" t="s">
        <v>18</v>
      </c>
      <c r="F1652" s="231">
        <v>100000.87999999989</v>
      </c>
      <c r="G1652" s="546"/>
      <c r="H1652" s="326"/>
      <c r="I1652" s="233"/>
      <c r="J1652" s="504"/>
      <c r="K1652" s="323"/>
      <c r="L1652" s="69">
        <f t="shared" si="103"/>
        <v>100000.87999999989</v>
      </c>
    </row>
    <row r="1653" spans="1:12" s="171" customFormat="1" ht="15" hidden="1">
      <c r="A1653" s="541">
        <v>90</v>
      </c>
      <c r="B1653" s="449" t="s">
        <v>535</v>
      </c>
      <c r="C1653" s="400"/>
      <c r="D1653" s="452"/>
      <c r="E1653" s="81" t="s">
        <v>34</v>
      </c>
      <c r="F1653" s="165">
        <f aca="true" t="shared" si="107" ref="F1653:K1653">SUM(F1654:F1655)</f>
        <v>2947368.6</v>
      </c>
      <c r="G1653" s="544"/>
      <c r="H1653" s="333">
        <f t="shared" si="107"/>
        <v>0</v>
      </c>
      <c r="I1653" s="333">
        <f>SUM(I1654:I1655)</f>
        <v>0</v>
      </c>
      <c r="J1653" s="502">
        <f>I1653/F1653*100</f>
        <v>0</v>
      </c>
      <c r="K1653" s="333">
        <f t="shared" si="107"/>
        <v>0</v>
      </c>
      <c r="L1653" s="69">
        <f t="shared" si="103"/>
        <v>2947368.6</v>
      </c>
    </row>
    <row r="1654" spans="1:12" s="171" customFormat="1" ht="15" hidden="1">
      <c r="A1654" s="542"/>
      <c r="B1654" s="450"/>
      <c r="C1654" s="401"/>
      <c r="D1654" s="453"/>
      <c r="E1654" s="323" t="s">
        <v>75</v>
      </c>
      <c r="F1654" s="231">
        <v>2800000</v>
      </c>
      <c r="G1654" s="545"/>
      <c r="H1654" s="326"/>
      <c r="I1654" s="233"/>
      <c r="J1654" s="503"/>
      <c r="K1654" s="323"/>
      <c r="L1654" s="69">
        <f t="shared" si="103"/>
        <v>2800000</v>
      </c>
    </row>
    <row r="1655" spans="1:12" s="171" customFormat="1" ht="15" hidden="1">
      <c r="A1655" s="543"/>
      <c r="B1655" s="451"/>
      <c r="C1655" s="402"/>
      <c r="D1655" s="454"/>
      <c r="E1655" s="323" t="s">
        <v>18</v>
      </c>
      <c r="F1655" s="231">
        <v>147368.6000000001</v>
      </c>
      <c r="G1655" s="546"/>
      <c r="H1655" s="326"/>
      <c r="I1655" s="233"/>
      <c r="J1655" s="504"/>
      <c r="K1655" s="323"/>
      <c r="L1655" s="69">
        <f t="shared" si="103"/>
        <v>147368.6000000001</v>
      </c>
    </row>
    <row r="1656" spans="1:12" s="171" customFormat="1" ht="13.5" customHeight="1" hidden="1">
      <c r="A1656" s="541">
        <v>91</v>
      </c>
      <c r="B1656" s="449" t="s">
        <v>536</v>
      </c>
      <c r="C1656" s="400"/>
      <c r="D1656" s="452"/>
      <c r="E1656" s="81" t="s">
        <v>34</v>
      </c>
      <c r="F1656" s="165">
        <f aca="true" t="shared" si="108" ref="F1656:K1656">SUM(F1657:F1658)</f>
        <v>2105715.9</v>
      </c>
      <c r="G1656" s="544"/>
      <c r="H1656" s="333">
        <f t="shared" si="108"/>
        <v>0</v>
      </c>
      <c r="I1656" s="333">
        <f>SUM(I1657:I1658)</f>
        <v>0</v>
      </c>
      <c r="J1656" s="502">
        <f>I1656/F1656*100</f>
        <v>0</v>
      </c>
      <c r="K1656" s="333">
        <f t="shared" si="108"/>
        <v>0</v>
      </c>
      <c r="L1656" s="69">
        <f t="shared" si="103"/>
        <v>2105715.9</v>
      </c>
    </row>
    <row r="1657" spans="1:12" s="171" customFormat="1" ht="15" hidden="1">
      <c r="A1657" s="542"/>
      <c r="B1657" s="450"/>
      <c r="C1657" s="401"/>
      <c r="D1657" s="453"/>
      <c r="E1657" s="323" t="s">
        <v>75</v>
      </c>
      <c r="F1657" s="231">
        <v>2000000</v>
      </c>
      <c r="G1657" s="545"/>
      <c r="H1657" s="326"/>
      <c r="I1657" s="233"/>
      <c r="J1657" s="503"/>
      <c r="K1657" s="323"/>
      <c r="L1657" s="69">
        <f t="shared" si="103"/>
        <v>2000000</v>
      </c>
    </row>
    <row r="1658" spans="1:12" s="171" customFormat="1" ht="15" hidden="1">
      <c r="A1658" s="543"/>
      <c r="B1658" s="451"/>
      <c r="C1658" s="402"/>
      <c r="D1658" s="454"/>
      <c r="E1658" s="323" t="s">
        <v>18</v>
      </c>
      <c r="F1658" s="231">
        <v>105715.8999999999</v>
      </c>
      <c r="G1658" s="546"/>
      <c r="H1658" s="326"/>
      <c r="I1658" s="233"/>
      <c r="J1658" s="504"/>
      <c r="K1658" s="323"/>
      <c r="L1658" s="69">
        <f t="shared" si="103"/>
        <v>105715.8999999999</v>
      </c>
    </row>
    <row r="1659" spans="1:12" s="171" customFormat="1" ht="15" hidden="1">
      <c r="A1659" s="541">
        <v>92</v>
      </c>
      <c r="B1659" s="449" t="s">
        <v>537</v>
      </c>
      <c r="C1659" s="400"/>
      <c r="D1659" s="452"/>
      <c r="E1659" s="81" t="s">
        <v>34</v>
      </c>
      <c r="F1659" s="165">
        <f aca="true" t="shared" si="109" ref="F1659:K1659">SUM(F1660:F1661)</f>
        <v>1578947.37</v>
      </c>
      <c r="G1659" s="544"/>
      <c r="H1659" s="333">
        <f t="shared" si="109"/>
        <v>0</v>
      </c>
      <c r="I1659" s="333">
        <f>SUM(I1660:I1661)</f>
        <v>0</v>
      </c>
      <c r="J1659" s="502">
        <f>I1659/F1659*100</f>
        <v>0</v>
      </c>
      <c r="K1659" s="333">
        <f t="shared" si="109"/>
        <v>0</v>
      </c>
      <c r="L1659" s="69">
        <f t="shared" si="103"/>
        <v>1578947.37</v>
      </c>
    </row>
    <row r="1660" spans="1:12" s="171" customFormat="1" ht="15" hidden="1">
      <c r="A1660" s="542"/>
      <c r="B1660" s="450"/>
      <c r="C1660" s="401"/>
      <c r="D1660" s="453"/>
      <c r="E1660" s="323" t="s">
        <v>75</v>
      </c>
      <c r="F1660" s="231">
        <v>1500000</v>
      </c>
      <c r="G1660" s="545"/>
      <c r="H1660" s="326"/>
      <c r="I1660" s="233"/>
      <c r="J1660" s="503"/>
      <c r="K1660" s="323"/>
      <c r="L1660" s="69">
        <f t="shared" si="103"/>
        <v>1500000</v>
      </c>
    </row>
    <row r="1661" spans="1:12" s="171" customFormat="1" ht="15" hidden="1">
      <c r="A1661" s="543"/>
      <c r="B1661" s="451"/>
      <c r="C1661" s="402"/>
      <c r="D1661" s="454"/>
      <c r="E1661" s="323" t="s">
        <v>18</v>
      </c>
      <c r="F1661" s="231">
        <v>78947.37000000011</v>
      </c>
      <c r="G1661" s="546"/>
      <c r="H1661" s="326"/>
      <c r="I1661" s="233"/>
      <c r="J1661" s="504"/>
      <c r="K1661" s="323"/>
      <c r="L1661" s="69">
        <f t="shared" si="103"/>
        <v>78947.37000000011</v>
      </c>
    </row>
    <row r="1662" spans="1:12" s="171" customFormat="1" ht="15" hidden="1">
      <c r="A1662" s="541">
        <v>93</v>
      </c>
      <c r="B1662" s="449" t="s">
        <v>538</v>
      </c>
      <c r="C1662" s="400"/>
      <c r="D1662" s="452"/>
      <c r="E1662" s="81" t="s">
        <v>34</v>
      </c>
      <c r="F1662" s="165">
        <f aca="true" t="shared" si="110" ref="F1662:K1662">SUM(F1663:F1664)</f>
        <v>1895000.94</v>
      </c>
      <c r="G1662" s="544"/>
      <c r="H1662" s="333">
        <f t="shared" si="110"/>
        <v>0</v>
      </c>
      <c r="I1662" s="333">
        <f>SUM(I1663:I1664)</f>
        <v>0</v>
      </c>
      <c r="J1662" s="502">
        <f>I1662/F1662*100</f>
        <v>0</v>
      </c>
      <c r="K1662" s="333">
        <f t="shared" si="110"/>
        <v>0</v>
      </c>
      <c r="L1662" s="69">
        <f t="shared" si="103"/>
        <v>1895000.94</v>
      </c>
    </row>
    <row r="1663" spans="1:12" s="171" customFormat="1" ht="15" hidden="1">
      <c r="A1663" s="542"/>
      <c r="B1663" s="450"/>
      <c r="C1663" s="401"/>
      <c r="D1663" s="453"/>
      <c r="E1663" s="323" t="s">
        <v>75</v>
      </c>
      <c r="F1663" s="231">
        <v>1800000</v>
      </c>
      <c r="G1663" s="545"/>
      <c r="H1663" s="326"/>
      <c r="I1663" s="233"/>
      <c r="J1663" s="503"/>
      <c r="K1663" s="323"/>
      <c r="L1663" s="69">
        <f t="shared" si="103"/>
        <v>1800000</v>
      </c>
    </row>
    <row r="1664" spans="1:12" s="171" customFormat="1" ht="15" hidden="1">
      <c r="A1664" s="543"/>
      <c r="B1664" s="451"/>
      <c r="C1664" s="402"/>
      <c r="D1664" s="454"/>
      <c r="E1664" s="323" t="s">
        <v>18</v>
      </c>
      <c r="F1664" s="231">
        <v>95000.93999999994</v>
      </c>
      <c r="G1664" s="545"/>
      <c r="H1664" s="326"/>
      <c r="I1664" s="233"/>
      <c r="J1664" s="504"/>
      <c r="K1664" s="323"/>
      <c r="L1664" s="69">
        <f t="shared" si="103"/>
        <v>95000.93999999994</v>
      </c>
    </row>
    <row r="1665" spans="1:12" s="171" customFormat="1" ht="15" hidden="1">
      <c r="A1665" s="541">
        <v>94</v>
      </c>
      <c r="B1665" s="449" t="s">
        <v>539</v>
      </c>
      <c r="C1665" s="400"/>
      <c r="D1665" s="452"/>
      <c r="E1665" s="81" t="s">
        <v>34</v>
      </c>
      <c r="F1665" s="165">
        <f aca="true" t="shared" si="111" ref="F1665:K1665">SUM(F1666:F1667)</f>
        <v>4867651.04</v>
      </c>
      <c r="G1665" s="545"/>
      <c r="H1665" s="333">
        <f t="shared" si="111"/>
        <v>0</v>
      </c>
      <c r="I1665" s="333">
        <f>SUM(I1666:I1667)</f>
        <v>0</v>
      </c>
      <c r="J1665" s="502">
        <f>I1665/F1665*100</f>
        <v>0</v>
      </c>
      <c r="K1665" s="333">
        <f t="shared" si="111"/>
        <v>0</v>
      </c>
      <c r="L1665" s="69">
        <f t="shared" si="103"/>
        <v>4867651.04</v>
      </c>
    </row>
    <row r="1666" spans="1:12" s="171" customFormat="1" ht="15" hidden="1">
      <c r="A1666" s="542"/>
      <c r="B1666" s="450"/>
      <c r="C1666" s="401"/>
      <c r="D1666" s="453"/>
      <c r="E1666" s="323" t="s">
        <v>75</v>
      </c>
      <c r="F1666" s="231">
        <v>4567651.04</v>
      </c>
      <c r="G1666" s="545"/>
      <c r="H1666" s="326"/>
      <c r="I1666" s="233"/>
      <c r="J1666" s="503"/>
      <c r="K1666" s="323"/>
      <c r="L1666" s="69">
        <f t="shared" si="103"/>
        <v>4567651.04</v>
      </c>
    </row>
    <row r="1667" spans="1:12" s="171" customFormat="1" ht="15" hidden="1">
      <c r="A1667" s="543"/>
      <c r="B1667" s="451"/>
      <c r="C1667" s="402"/>
      <c r="D1667" s="454"/>
      <c r="E1667" s="323" t="s">
        <v>18</v>
      </c>
      <c r="F1667" s="231">
        <v>300000</v>
      </c>
      <c r="G1667" s="545"/>
      <c r="H1667" s="326"/>
      <c r="I1667" s="233"/>
      <c r="J1667" s="504"/>
      <c r="K1667" s="323"/>
      <c r="L1667" s="69">
        <f t="shared" si="103"/>
        <v>300000</v>
      </c>
    </row>
    <row r="1668" spans="1:12" s="171" customFormat="1" ht="15" hidden="1">
      <c r="A1668" s="541">
        <v>95</v>
      </c>
      <c r="B1668" s="449" t="s">
        <v>540</v>
      </c>
      <c r="C1668" s="400"/>
      <c r="D1668" s="452"/>
      <c r="E1668" s="81" t="s">
        <v>34</v>
      </c>
      <c r="F1668" s="165">
        <f aca="true" t="shared" si="112" ref="F1668:K1668">SUM(F1669:F1670)</f>
        <v>3675841.6</v>
      </c>
      <c r="G1668" s="545"/>
      <c r="H1668" s="333">
        <f t="shared" si="112"/>
        <v>0</v>
      </c>
      <c r="I1668" s="333">
        <f>SUM(I1669:I1670)</f>
        <v>0</v>
      </c>
      <c r="J1668" s="502">
        <f>I1668/F1668*100</f>
        <v>0</v>
      </c>
      <c r="K1668" s="333">
        <f t="shared" si="112"/>
        <v>0</v>
      </c>
      <c r="L1668" s="69">
        <f t="shared" si="103"/>
        <v>3675841.6</v>
      </c>
    </row>
    <row r="1669" spans="1:12" s="171" customFormat="1" ht="15" hidden="1">
      <c r="A1669" s="542"/>
      <c r="B1669" s="450"/>
      <c r="C1669" s="401"/>
      <c r="D1669" s="453"/>
      <c r="E1669" s="323" t="s">
        <v>75</v>
      </c>
      <c r="F1669" s="231">
        <v>3492049.52</v>
      </c>
      <c r="G1669" s="545"/>
      <c r="H1669" s="326"/>
      <c r="I1669" s="233"/>
      <c r="J1669" s="503"/>
      <c r="K1669" s="323"/>
      <c r="L1669" s="69">
        <f t="shared" si="103"/>
        <v>3492049.52</v>
      </c>
    </row>
    <row r="1670" spans="1:12" s="171" customFormat="1" ht="15" hidden="1">
      <c r="A1670" s="543"/>
      <c r="B1670" s="451"/>
      <c r="C1670" s="402"/>
      <c r="D1670" s="454"/>
      <c r="E1670" s="323" t="s">
        <v>18</v>
      </c>
      <c r="F1670" s="231">
        <v>183792.08000000007</v>
      </c>
      <c r="G1670" s="545"/>
      <c r="H1670" s="326"/>
      <c r="I1670" s="233"/>
      <c r="J1670" s="504"/>
      <c r="K1670" s="323"/>
      <c r="L1670" s="69">
        <f t="shared" si="103"/>
        <v>183792.08000000007</v>
      </c>
    </row>
    <row r="1671" spans="1:12" s="171" customFormat="1" ht="15" hidden="1">
      <c r="A1671" s="541">
        <v>96</v>
      </c>
      <c r="B1671" s="449" t="s">
        <v>541</v>
      </c>
      <c r="C1671" s="400"/>
      <c r="D1671" s="452"/>
      <c r="E1671" s="81" t="s">
        <v>34</v>
      </c>
      <c r="F1671" s="165">
        <f aca="true" t="shared" si="113" ref="F1671:K1671">SUM(F1672:F1673)</f>
        <v>10526315.790000001</v>
      </c>
      <c r="G1671" s="545"/>
      <c r="H1671" s="333">
        <f t="shared" si="113"/>
        <v>0</v>
      </c>
      <c r="I1671" s="333">
        <f>SUM(I1672:I1673)</f>
        <v>0</v>
      </c>
      <c r="J1671" s="502">
        <f>I1671/F1671*100</f>
        <v>0</v>
      </c>
      <c r="K1671" s="333">
        <f t="shared" si="113"/>
        <v>0</v>
      </c>
      <c r="L1671" s="69">
        <f t="shared" si="103"/>
        <v>10526315.790000001</v>
      </c>
    </row>
    <row r="1672" spans="1:12" s="171" customFormat="1" ht="15" hidden="1">
      <c r="A1672" s="542"/>
      <c r="B1672" s="450"/>
      <c r="C1672" s="401"/>
      <c r="D1672" s="453"/>
      <c r="E1672" s="323" t="s">
        <v>75</v>
      </c>
      <c r="F1672" s="231">
        <v>10000000</v>
      </c>
      <c r="G1672" s="545"/>
      <c r="H1672" s="326"/>
      <c r="I1672" s="233"/>
      <c r="J1672" s="503"/>
      <c r="K1672" s="323"/>
      <c r="L1672" s="69">
        <f t="shared" si="103"/>
        <v>10000000</v>
      </c>
    </row>
    <row r="1673" spans="1:12" s="171" customFormat="1" ht="15" hidden="1">
      <c r="A1673" s="543"/>
      <c r="B1673" s="451"/>
      <c r="C1673" s="402"/>
      <c r="D1673" s="454"/>
      <c r="E1673" s="323" t="s">
        <v>18</v>
      </c>
      <c r="F1673" s="231">
        <v>526315.790000001</v>
      </c>
      <c r="G1673" s="545"/>
      <c r="H1673" s="326"/>
      <c r="I1673" s="233"/>
      <c r="J1673" s="504"/>
      <c r="K1673" s="323"/>
      <c r="L1673" s="69">
        <f t="shared" si="103"/>
        <v>526315.790000001</v>
      </c>
    </row>
    <row r="1674" spans="1:12" s="171" customFormat="1" ht="15" hidden="1">
      <c r="A1674" s="541">
        <v>97</v>
      </c>
      <c r="B1674" s="449" t="s">
        <v>542</v>
      </c>
      <c r="C1674" s="400"/>
      <c r="D1674" s="452"/>
      <c r="E1674" s="81" t="s">
        <v>34</v>
      </c>
      <c r="F1674" s="165">
        <f aca="true" t="shared" si="114" ref="F1674:K1674">SUM(F1675:F1676)</f>
        <v>1955564.44</v>
      </c>
      <c r="G1674" s="545"/>
      <c r="H1674" s="333">
        <f t="shared" si="114"/>
        <v>0</v>
      </c>
      <c r="I1674" s="333">
        <f>SUM(I1675:I1676)</f>
        <v>0</v>
      </c>
      <c r="J1674" s="502">
        <f>I1674/F1674*100</f>
        <v>0</v>
      </c>
      <c r="K1674" s="333">
        <f t="shared" si="114"/>
        <v>0</v>
      </c>
      <c r="L1674" s="69">
        <f t="shared" si="103"/>
        <v>1955564.44</v>
      </c>
    </row>
    <row r="1675" spans="1:12" s="171" customFormat="1" ht="15" hidden="1">
      <c r="A1675" s="542"/>
      <c r="B1675" s="450"/>
      <c r="C1675" s="401"/>
      <c r="D1675" s="453"/>
      <c r="E1675" s="323" t="s">
        <v>75</v>
      </c>
      <c r="F1675" s="231">
        <v>1857786.21</v>
      </c>
      <c r="G1675" s="545"/>
      <c r="H1675" s="326"/>
      <c r="I1675" s="233"/>
      <c r="J1675" s="503"/>
      <c r="K1675" s="323"/>
      <c r="L1675" s="69">
        <f t="shared" si="103"/>
        <v>1857786.21</v>
      </c>
    </row>
    <row r="1676" spans="1:12" s="171" customFormat="1" ht="15" hidden="1">
      <c r="A1676" s="543"/>
      <c r="B1676" s="451"/>
      <c r="C1676" s="402"/>
      <c r="D1676" s="454"/>
      <c r="E1676" s="323" t="s">
        <v>18</v>
      </c>
      <c r="F1676" s="231">
        <v>97778.22999999998</v>
      </c>
      <c r="G1676" s="546"/>
      <c r="H1676" s="326"/>
      <c r="I1676" s="233"/>
      <c r="J1676" s="504"/>
      <c r="K1676" s="323"/>
      <c r="L1676" s="69">
        <f t="shared" si="103"/>
        <v>97778.22999999998</v>
      </c>
    </row>
    <row r="1677" spans="1:12" s="171" customFormat="1" ht="15" hidden="1">
      <c r="A1677" s="541">
        <v>98</v>
      </c>
      <c r="B1677" s="449" t="s">
        <v>543</v>
      </c>
      <c r="C1677" s="400"/>
      <c r="D1677" s="452"/>
      <c r="E1677" s="81" t="s">
        <v>34</v>
      </c>
      <c r="F1677" s="165">
        <f aca="true" t="shared" si="115" ref="F1677:K1677">SUM(F1678:F1679)</f>
        <v>2910291.82</v>
      </c>
      <c r="G1677" s="547"/>
      <c r="H1677" s="333">
        <f t="shared" si="115"/>
        <v>0</v>
      </c>
      <c r="I1677" s="333">
        <f>SUM(I1678:I1679)</f>
        <v>0</v>
      </c>
      <c r="J1677" s="502">
        <f>I1677/F1677*100</f>
        <v>0</v>
      </c>
      <c r="K1677" s="333">
        <f t="shared" si="115"/>
        <v>0</v>
      </c>
      <c r="L1677" s="69">
        <f t="shared" si="103"/>
        <v>2910291.82</v>
      </c>
    </row>
    <row r="1678" spans="1:12" s="171" customFormat="1" ht="15" hidden="1">
      <c r="A1678" s="542"/>
      <c r="B1678" s="450"/>
      <c r="C1678" s="401"/>
      <c r="D1678" s="453"/>
      <c r="E1678" s="323" t="s">
        <v>75</v>
      </c>
      <c r="F1678" s="231">
        <v>2764777.22</v>
      </c>
      <c r="G1678" s="548"/>
      <c r="H1678" s="326"/>
      <c r="I1678" s="233"/>
      <c r="J1678" s="503"/>
      <c r="K1678" s="323"/>
      <c r="L1678" s="69">
        <f t="shared" si="103"/>
        <v>2764777.22</v>
      </c>
    </row>
    <row r="1679" spans="1:12" s="171" customFormat="1" ht="15" hidden="1">
      <c r="A1679" s="543"/>
      <c r="B1679" s="451"/>
      <c r="C1679" s="402"/>
      <c r="D1679" s="454"/>
      <c r="E1679" s="323" t="s">
        <v>18</v>
      </c>
      <c r="F1679" s="231">
        <v>145514.59999999963</v>
      </c>
      <c r="G1679" s="549"/>
      <c r="H1679" s="326"/>
      <c r="I1679" s="233"/>
      <c r="J1679" s="504"/>
      <c r="K1679" s="323"/>
      <c r="L1679" s="69">
        <f t="shared" si="103"/>
        <v>145514.59999999963</v>
      </c>
    </row>
    <row r="1680" spans="1:12" s="171" customFormat="1" ht="24.75" customHeight="1" hidden="1">
      <c r="A1680" s="541">
        <v>99</v>
      </c>
      <c r="B1680" s="449" t="s">
        <v>544</v>
      </c>
      <c r="C1680" s="400"/>
      <c r="D1680" s="452"/>
      <c r="E1680" s="81" t="s">
        <v>34</v>
      </c>
      <c r="F1680" s="165">
        <f aca="true" t="shared" si="116" ref="F1680:K1680">SUM(F1681:F1682)</f>
        <v>5757939.8</v>
      </c>
      <c r="G1680" s="544"/>
      <c r="H1680" s="333">
        <f t="shared" si="116"/>
        <v>0</v>
      </c>
      <c r="I1680" s="333">
        <f>SUM(I1681:I1682)</f>
        <v>0</v>
      </c>
      <c r="J1680" s="502">
        <f>I1680/F1680*100</f>
        <v>0</v>
      </c>
      <c r="K1680" s="333">
        <f t="shared" si="116"/>
        <v>0</v>
      </c>
      <c r="L1680" s="69">
        <f t="shared" si="103"/>
        <v>5757939.8</v>
      </c>
    </row>
    <row r="1681" spans="1:12" s="171" customFormat="1" ht="17.25" customHeight="1" hidden="1">
      <c r="A1681" s="542"/>
      <c r="B1681" s="450"/>
      <c r="C1681" s="401"/>
      <c r="D1681" s="453"/>
      <c r="E1681" s="323" t="s">
        <v>75</v>
      </c>
      <c r="F1681" s="237">
        <v>5100000</v>
      </c>
      <c r="G1681" s="545"/>
      <c r="H1681" s="326"/>
      <c r="I1681" s="247"/>
      <c r="J1681" s="503"/>
      <c r="K1681" s="323"/>
      <c r="L1681" s="69">
        <f t="shared" si="103"/>
        <v>5100000</v>
      </c>
    </row>
    <row r="1682" spans="1:12" s="171" customFormat="1" ht="25.5" customHeight="1" hidden="1">
      <c r="A1682" s="543"/>
      <c r="B1682" s="451"/>
      <c r="C1682" s="402"/>
      <c r="D1682" s="454"/>
      <c r="E1682" s="323" t="s">
        <v>18</v>
      </c>
      <c r="F1682" s="237">
        <v>657939.7999999998</v>
      </c>
      <c r="G1682" s="546"/>
      <c r="H1682" s="326"/>
      <c r="I1682" s="247"/>
      <c r="J1682" s="504"/>
      <c r="K1682" s="323"/>
      <c r="L1682" s="69">
        <f t="shared" si="103"/>
        <v>657939.7999999998</v>
      </c>
    </row>
    <row r="1683" spans="1:12" s="171" customFormat="1" ht="15" hidden="1">
      <c r="A1683" s="541">
        <v>100</v>
      </c>
      <c r="B1683" s="449" t="s">
        <v>545</v>
      </c>
      <c r="C1683" s="400"/>
      <c r="D1683" s="452"/>
      <c r="E1683" s="81" t="s">
        <v>34</v>
      </c>
      <c r="F1683" s="165">
        <f aca="true" t="shared" si="117" ref="F1683:K1683">SUM(F1684:F1685)</f>
        <v>2411484.58</v>
      </c>
      <c r="G1683" s="547"/>
      <c r="H1683" s="333">
        <f t="shared" si="117"/>
        <v>0</v>
      </c>
      <c r="I1683" s="333">
        <f>SUM(I1684:I1685)</f>
        <v>0</v>
      </c>
      <c r="J1683" s="502">
        <f>I1683/F1683*100</f>
        <v>0</v>
      </c>
      <c r="K1683" s="333">
        <f t="shared" si="117"/>
        <v>0</v>
      </c>
      <c r="L1683" s="69">
        <f t="shared" si="103"/>
        <v>2411484.58</v>
      </c>
    </row>
    <row r="1684" spans="1:12" s="171" customFormat="1" ht="15" hidden="1">
      <c r="A1684" s="542"/>
      <c r="B1684" s="450"/>
      <c r="C1684" s="401"/>
      <c r="D1684" s="453"/>
      <c r="E1684" s="323" t="s">
        <v>75</v>
      </c>
      <c r="F1684" s="231">
        <v>2290910.35</v>
      </c>
      <c r="G1684" s="548"/>
      <c r="H1684" s="326"/>
      <c r="I1684" s="233"/>
      <c r="J1684" s="503"/>
      <c r="K1684" s="323"/>
      <c r="L1684" s="69">
        <f t="shared" si="103"/>
        <v>2290910.35</v>
      </c>
    </row>
    <row r="1685" spans="1:12" s="171" customFormat="1" ht="15" hidden="1">
      <c r="A1685" s="543"/>
      <c r="B1685" s="451"/>
      <c r="C1685" s="402"/>
      <c r="D1685" s="454"/>
      <c r="E1685" s="323" t="s">
        <v>18</v>
      </c>
      <c r="F1685" s="231">
        <v>120574.22999999998</v>
      </c>
      <c r="G1685" s="549"/>
      <c r="H1685" s="326"/>
      <c r="I1685" s="233"/>
      <c r="J1685" s="504"/>
      <c r="K1685" s="323"/>
      <c r="L1685" s="69">
        <f t="shared" si="103"/>
        <v>120574.22999999998</v>
      </c>
    </row>
    <row r="1686" spans="1:12" s="171" customFormat="1" ht="15" hidden="1">
      <c r="A1686" s="541">
        <v>101</v>
      </c>
      <c r="B1686" s="449" t="s">
        <v>546</v>
      </c>
      <c r="C1686" s="400"/>
      <c r="D1686" s="452"/>
      <c r="E1686" s="81" t="s">
        <v>34</v>
      </c>
      <c r="F1686" s="165">
        <f aca="true" t="shared" si="118" ref="F1686:K1686">SUM(F1687:F1688)</f>
        <v>2411508.18</v>
      </c>
      <c r="G1686" s="544"/>
      <c r="H1686" s="333">
        <f t="shared" si="118"/>
        <v>0</v>
      </c>
      <c r="I1686" s="333">
        <f>SUM(I1687:I1688)</f>
        <v>0</v>
      </c>
      <c r="J1686" s="502">
        <f>I1686/F1686*100</f>
        <v>0</v>
      </c>
      <c r="K1686" s="333">
        <f t="shared" si="118"/>
        <v>0</v>
      </c>
      <c r="L1686" s="69">
        <f t="shared" si="103"/>
        <v>2411508.18</v>
      </c>
    </row>
    <row r="1687" spans="1:12" s="171" customFormat="1" ht="15" hidden="1">
      <c r="A1687" s="542"/>
      <c r="B1687" s="450"/>
      <c r="C1687" s="401"/>
      <c r="D1687" s="453"/>
      <c r="E1687" s="323" t="s">
        <v>75</v>
      </c>
      <c r="F1687" s="231">
        <v>2290932.77</v>
      </c>
      <c r="G1687" s="545"/>
      <c r="H1687" s="326"/>
      <c r="I1687" s="233"/>
      <c r="J1687" s="503"/>
      <c r="K1687" s="323"/>
      <c r="L1687" s="69">
        <f t="shared" si="103"/>
        <v>2290932.77</v>
      </c>
    </row>
    <row r="1688" spans="1:12" s="171" customFormat="1" ht="15" hidden="1">
      <c r="A1688" s="543"/>
      <c r="B1688" s="451"/>
      <c r="C1688" s="402"/>
      <c r="D1688" s="454"/>
      <c r="E1688" s="323" t="s">
        <v>18</v>
      </c>
      <c r="F1688" s="231">
        <v>120575.41000000015</v>
      </c>
      <c r="G1688" s="546"/>
      <c r="H1688" s="326"/>
      <c r="I1688" s="233"/>
      <c r="J1688" s="504"/>
      <c r="K1688" s="323"/>
      <c r="L1688" s="69">
        <f t="shared" si="103"/>
        <v>120575.41000000015</v>
      </c>
    </row>
    <row r="1689" spans="1:12" s="171" customFormat="1" ht="18.75" customHeight="1" hidden="1">
      <c r="A1689" s="541">
        <v>102</v>
      </c>
      <c r="B1689" s="449" t="s">
        <v>547</v>
      </c>
      <c r="C1689" s="400"/>
      <c r="D1689" s="452"/>
      <c r="E1689" s="81" t="s">
        <v>34</v>
      </c>
      <c r="F1689" s="165">
        <f aca="true" t="shared" si="119" ref="F1689:K1689">SUM(F1690:F1691)</f>
        <v>3198417.14</v>
      </c>
      <c r="G1689" s="544"/>
      <c r="H1689" s="333">
        <f t="shared" si="119"/>
        <v>0</v>
      </c>
      <c r="I1689" s="333">
        <f>SUM(I1690:I1691)</f>
        <v>0</v>
      </c>
      <c r="J1689" s="502">
        <f>I1689/F1689*100</f>
        <v>0</v>
      </c>
      <c r="K1689" s="333">
        <f t="shared" si="119"/>
        <v>0</v>
      </c>
      <c r="L1689" s="69">
        <f t="shared" si="103"/>
        <v>3198417.14</v>
      </c>
    </row>
    <row r="1690" spans="1:12" s="171" customFormat="1" ht="15" hidden="1">
      <c r="A1690" s="542"/>
      <c r="B1690" s="450"/>
      <c r="C1690" s="401"/>
      <c r="D1690" s="453"/>
      <c r="E1690" s="323" t="s">
        <v>75</v>
      </c>
      <c r="F1690" s="237">
        <v>3038496.28</v>
      </c>
      <c r="G1690" s="545"/>
      <c r="H1690" s="326"/>
      <c r="I1690" s="233"/>
      <c r="J1690" s="503"/>
      <c r="K1690" s="323"/>
      <c r="L1690" s="69">
        <f t="shared" si="103"/>
        <v>3038496.28</v>
      </c>
    </row>
    <row r="1691" spans="1:12" s="171" customFormat="1" ht="20.25" customHeight="1" hidden="1">
      <c r="A1691" s="543"/>
      <c r="B1691" s="451"/>
      <c r="C1691" s="402"/>
      <c r="D1691" s="454"/>
      <c r="E1691" s="323" t="s">
        <v>18</v>
      </c>
      <c r="F1691" s="237">
        <v>159920.86000000034</v>
      </c>
      <c r="G1691" s="546"/>
      <c r="H1691" s="326"/>
      <c r="I1691" s="233"/>
      <c r="J1691" s="504"/>
      <c r="K1691" s="323"/>
      <c r="L1691" s="69">
        <f t="shared" si="103"/>
        <v>159920.86000000034</v>
      </c>
    </row>
    <row r="1692" spans="1:12" s="171" customFormat="1" ht="15" hidden="1">
      <c r="A1692" s="541">
        <v>103</v>
      </c>
      <c r="B1692" s="449" t="s">
        <v>548</v>
      </c>
      <c r="C1692" s="400"/>
      <c r="D1692" s="452"/>
      <c r="E1692" s="81" t="s">
        <v>34</v>
      </c>
      <c r="F1692" s="165">
        <f aca="true" t="shared" si="120" ref="F1692:K1692">SUM(F1693:F1694)</f>
        <v>2509713.68</v>
      </c>
      <c r="G1692" s="544"/>
      <c r="H1692" s="333">
        <f t="shared" si="120"/>
        <v>0</v>
      </c>
      <c r="I1692" s="333">
        <f>SUM(I1693:I1694)</f>
        <v>0</v>
      </c>
      <c r="J1692" s="502">
        <f>I1692/F1692*100</f>
        <v>0</v>
      </c>
      <c r="K1692" s="333">
        <f t="shared" si="120"/>
        <v>0</v>
      </c>
      <c r="L1692" s="69">
        <f t="shared" si="103"/>
        <v>2509713.68</v>
      </c>
    </row>
    <row r="1693" spans="1:12" s="171" customFormat="1" ht="15" hidden="1">
      <c r="A1693" s="542"/>
      <c r="B1693" s="450"/>
      <c r="C1693" s="401"/>
      <c r="D1693" s="453"/>
      <c r="E1693" s="323" t="s">
        <v>75</v>
      </c>
      <c r="F1693" s="231">
        <v>2384227.99</v>
      </c>
      <c r="G1693" s="545"/>
      <c r="H1693" s="326"/>
      <c r="I1693" s="233"/>
      <c r="J1693" s="503"/>
      <c r="K1693" s="323"/>
      <c r="L1693" s="69">
        <f t="shared" si="103"/>
        <v>2384227.99</v>
      </c>
    </row>
    <row r="1694" spans="1:12" s="171" customFormat="1" ht="15" hidden="1">
      <c r="A1694" s="543"/>
      <c r="B1694" s="451"/>
      <c r="C1694" s="402"/>
      <c r="D1694" s="454"/>
      <c r="E1694" s="323" t="s">
        <v>18</v>
      </c>
      <c r="F1694" s="231">
        <v>125485.68999999994</v>
      </c>
      <c r="G1694" s="546"/>
      <c r="H1694" s="326"/>
      <c r="I1694" s="233"/>
      <c r="J1694" s="504"/>
      <c r="K1694" s="323"/>
      <c r="L1694" s="69">
        <f t="shared" si="103"/>
        <v>125485.68999999994</v>
      </c>
    </row>
    <row r="1695" spans="1:12" s="171" customFormat="1" ht="15" hidden="1">
      <c r="A1695" s="541">
        <v>104</v>
      </c>
      <c r="B1695" s="449" t="s">
        <v>549</v>
      </c>
      <c r="C1695" s="400"/>
      <c r="D1695" s="452"/>
      <c r="E1695" s="81" t="s">
        <v>34</v>
      </c>
      <c r="F1695" s="165">
        <f aca="true" t="shared" si="121" ref="F1695:K1695">SUM(F1696:F1697)</f>
        <v>10500000</v>
      </c>
      <c r="G1695" s="544"/>
      <c r="H1695" s="333">
        <f t="shared" si="121"/>
        <v>0</v>
      </c>
      <c r="I1695" s="333">
        <f>SUM(I1696:I1697)</f>
        <v>0</v>
      </c>
      <c r="J1695" s="502">
        <f>I1695/F1695*100</f>
        <v>0</v>
      </c>
      <c r="K1695" s="333">
        <f t="shared" si="121"/>
        <v>0</v>
      </c>
      <c r="L1695" s="69">
        <f t="shared" si="103"/>
        <v>10500000</v>
      </c>
    </row>
    <row r="1696" spans="1:12" s="171" customFormat="1" ht="15" hidden="1">
      <c r="A1696" s="542"/>
      <c r="B1696" s="450"/>
      <c r="C1696" s="401"/>
      <c r="D1696" s="453"/>
      <c r="E1696" s="323" t="s">
        <v>75</v>
      </c>
      <c r="F1696" s="231">
        <v>9974960</v>
      </c>
      <c r="G1696" s="545"/>
      <c r="H1696" s="326"/>
      <c r="I1696" s="233"/>
      <c r="J1696" s="503"/>
      <c r="K1696" s="323"/>
      <c r="L1696" s="69">
        <f t="shared" si="103"/>
        <v>9974960</v>
      </c>
    </row>
    <row r="1697" spans="1:12" s="171" customFormat="1" ht="15" hidden="1">
      <c r="A1697" s="543"/>
      <c r="B1697" s="451"/>
      <c r="C1697" s="402"/>
      <c r="D1697" s="454"/>
      <c r="E1697" s="323" t="s">
        <v>18</v>
      </c>
      <c r="F1697" s="231">
        <v>525040</v>
      </c>
      <c r="G1697" s="546"/>
      <c r="H1697" s="326"/>
      <c r="I1697" s="233"/>
      <c r="J1697" s="504"/>
      <c r="K1697" s="323"/>
      <c r="L1697" s="69">
        <f t="shared" si="103"/>
        <v>525040</v>
      </c>
    </row>
    <row r="1698" spans="1:12" s="171" customFormat="1" ht="15" hidden="1">
      <c r="A1698" s="541">
        <v>105</v>
      </c>
      <c r="B1698" s="449" t="s">
        <v>550</v>
      </c>
      <c r="C1698" s="400"/>
      <c r="D1698" s="452"/>
      <c r="E1698" s="81" t="s">
        <v>34</v>
      </c>
      <c r="F1698" s="165">
        <f>SUM(F1699:F1700)</f>
        <v>2104996.1</v>
      </c>
      <c r="G1698" s="544"/>
      <c r="H1698" s="333">
        <f>SUM(H1699:H1700)</f>
        <v>0</v>
      </c>
      <c r="I1698" s="333">
        <f>SUM(I1699:I1700)</f>
        <v>0</v>
      </c>
      <c r="J1698" s="502">
        <f>I1698/F1698*100</f>
        <v>0</v>
      </c>
      <c r="K1698" s="333">
        <f>SUM(K1699:K1700)</f>
        <v>0</v>
      </c>
      <c r="L1698" s="69">
        <f t="shared" si="103"/>
        <v>2104996.1</v>
      </c>
    </row>
    <row r="1699" spans="1:12" s="171" customFormat="1" ht="15" hidden="1">
      <c r="A1699" s="542"/>
      <c r="B1699" s="450"/>
      <c r="C1699" s="401"/>
      <c r="D1699" s="453"/>
      <c r="E1699" s="323" t="s">
        <v>75</v>
      </c>
      <c r="F1699" s="231">
        <v>1999746.29</v>
      </c>
      <c r="G1699" s="545"/>
      <c r="H1699" s="326"/>
      <c r="I1699" s="233"/>
      <c r="J1699" s="503"/>
      <c r="K1699" s="323"/>
      <c r="L1699" s="69">
        <f t="shared" si="103"/>
        <v>1999746.29</v>
      </c>
    </row>
    <row r="1700" spans="1:12" s="171" customFormat="1" ht="15" hidden="1">
      <c r="A1700" s="543"/>
      <c r="B1700" s="451"/>
      <c r="C1700" s="402"/>
      <c r="D1700" s="454"/>
      <c r="E1700" s="323" t="s">
        <v>18</v>
      </c>
      <c r="F1700" s="231">
        <v>105249.81000000006</v>
      </c>
      <c r="G1700" s="546"/>
      <c r="H1700" s="326"/>
      <c r="I1700" s="233"/>
      <c r="J1700" s="504"/>
      <c r="K1700" s="323"/>
      <c r="L1700" s="69">
        <f t="shared" si="103"/>
        <v>105249.81000000006</v>
      </c>
    </row>
    <row r="1701" spans="1:12" s="171" customFormat="1" ht="15" hidden="1">
      <c r="A1701" s="541">
        <v>106</v>
      </c>
      <c r="B1701" s="449" t="s">
        <v>551</v>
      </c>
      <c r="C1701" s="400"/>
      <c r="D1701" s="452"/>
      <c r="E1701" s="81" t="s">
        <v>34</v>
      </c>
      <c r="F1701" s="165">
        <f>SUM(F1702:F1703)</f>
        <v>2105000</v>
      </c>
      <c r="G1701" s="544"/>
      <c r="H1701" s="333">
        <f>SUM(H1702:H1703)</f>
        <v>0</v>
      </c>
      <c r="I1701" s="333">
        <f>SUM(I1702:I1703)</f>
        <v>0</v>
      </c>
      <c r="J1701" s="502">
        <f>I1701/F1701*100</f>
        <v>0</v>
      </c>
      <c r="K1701" s="333">
        <f>SUM(K1702:K1703)</f>
        <v>0</v>
      </c>
      <c r="L1701" s="69">
        <f t="shared" si="103"/>
        <v>2105000</v>
      </c>
    </row>
    <row r="1702" spans="1:12" s="171" customFormat="1" ht="15" hidden="1">
      <c r="A1702" s="542"/>
      <c r="B1702" s="450"/>
      <c r="C1702" s="401"/>
      <c r="D1702" s="453"/>
      <c r="E1702" s="323" t="s">
        <v>75</v>
      </c>
      <c r="F1702" s="231">
        <v>1999750</v>
      </c>
      <c r="G1702" s="545"/>
      <c r="H1702" s="326"/>
      <c r="I1702" s="233"/>
      <c r="J1702" s="503"/>
      <c r="K1702" s="323"/>
      <c r="L1702" s="69">
        <f t="shared" si="103"/>
        <v>1999750</v>
      </c>
    </row>
    <row r="1703" spans="1:12" s="171" customFormat="1" ht="15" hidden="1">
      <c r="A1703" s="543"/>
      <c r="B1703" s="451"/>
      <c r="C1703" s="402"/>
      <c r="D1703" s="454"/>
      <c r="E1703" s="323" t="s">
        <v>18</v>
      </c>
      <c r="F1703" s="231">
        <v>105250</v>
      </c>
      <c r="G1703" s="546"/>
      <c r="H1703" s="326"/>
      <c r="I1703" s="233"/>
      <c r="J1703" s="504"/>
      <c r="K1703" s="323"/>
      <c r="L1703" s="69">
        <f t="shared" si="103"/>
        <v>105250</v>
      </c>
    </row>
    <row r="1704" spans="1:12" s="171" customFormat="1" ht="15" hidden="1">
      <c r="A1704" s="541">
        <v>107</v>
      </c>
      <c r="B1704" s="449" t="s">
        <v>552</v>
      </c>
      <c r="C1704" s="400"/>
      <c r="D1704" s="452"/>
      <c r="E1704" s="81" t="s">
        <v>34</v>
      </c>
      <c r="F1704" s="165">
        <f>SUM(F1705:F1706)</f>
        <v>2099974.02</v>
      </c>
      <c r="G1704" s="544"/>
      <c r="H1704" s="333">
        <f>SUM(H1705:H1706)</f>
        <v>0</v>
      </c>
      <c r="I1704" s="333">
        <f>SUM(I1705:I1706)</f>
        <v>0</v>
      </c>
      <c r="J1704" s="502">
        <f>I1704/F1704*100</f>
        <v>0</v>
      </c>
      <c r="K1704" s="333">
        <f>SUM(K1705:K1706)</f>
        <v>0</v>
      </c>
      <c r="L1704" s="69">
        <f t="shared" si="103"/>
        <v>2099974.02</v>
      </c>
    </row>
    <row r="1705" spans="1:12" s="171" customFormat="1" ht="15" hidden="1">
      <c r="A1705" s="542"/>
      <c r="B1705" s="450"/>
      <c r="C1705" s="401"/>
      <c r="D1705" s="453"/>
      <c r="E1705" s="323" t="s">
        <v>75</v>
      </c>
      <c r="F1705" s="231">
        <v>1994975.31</v>
      </c>
      <c r="G1705" s="545"/>
      <c r="H1705" s="326"/>
      <c r="I1705" s="233"/>
      <c r="J1705" s="503"/>
      <c r="K1705" s="323"/>
      <c r="L1705" s="69">
        <f t="shared" si="103"/>
        <v>1994975.31</v>
      </c>
    </row>
    <row r="1706" spans="1:12" s="171" customFormat="1" ht="15" hidden="1">
      <c r="A1706" s="543"/>
      <c r="B1706" s="451"/>
      <c r="C1706" s="402"/>
      <c r="D1706" s="454"/>
      <c r="E1706" s="323" t="s">
        <v>18</v>
      </c>
      <c r="F1706" s="231">
        <v>104998.70999999996</v>
      </c>
      <c r="G1706" s="546"/>
      <c r="H1706" s="326"/>
      <c r="I1706" s="233"/>
      <c r="J1706" s="504"/>
      <c r="K1706" s="323"/>
      <c r="L1706" s="69">
        <f aca="true" t="shared" si="122" ref="L1706:L1737">F1706-K1706</f>
        <v>104998.70999999996</v>
      </c>
    </row>
    <row r="1707" spans="1:12" s="171" customFormat="1" ht="15" hidden="1">
      <c r="A1707" s="541">
        <v>108</v>
      </c>
      <c r="B1707" s="449" t="s">
        <v>553</v>
      </c>
      <c r="C1707" s="400"/>
      <c r="D1707" s="452"/>
      <c r="E1707" s="81" t="s">
        <v>34</v>
      </c>
      <c r="F1707" s="165">
        <f>SUM(F1708:F1709)</f>
        <v>2183947.54</v>
      </c>
      <c r="G1707" s="544"/>
      <c r="H1707" s="333">
        <f>SUM(H1708:H1709)</f>
        <v>0</v>
      </c>
      <c r="I1707" s="333">
        <f>SUM(I1708:I1709)</f>
        <v>0</v>
      </c>
      <c r="J1707" s="502">
        <f>I1707/F1707*100</f>
        <v>0</v>
      </c>
      <c r="K1707" s="333">
        <f>SUM(K1708:K1709)</f>
        <v>0</v>
      </c>
      <c r="L1707" s="69">
        <f t="shared" si="122"/>
        <v>2183947.54</v>
      </c>
    </row>
    <row r="1708" spans="1:12" s="171" customFormat="1" ht="15" hidden="1">
      <c r="A1708" s="542"/>
      <c r="B1708" s="450"/>
      <c r="C1708" s="401"/>
      <c r="D1708" s="453"/>
      <c r="E1708" s="323" t="s">
        <v>75</v>
      </c>
      <c r="F1708" s="231">
        <v>2000000</v>
      </c>
      <c r="G1708" s="545"/>
      <c r="H1708" s="326"/>
      <c r="I1708" s="233"/>
      <c r="J1708" s="503"/>
      <c r="K1708" s="323"/>
      <c r="L1708" s="69">
        <f t="shared" si="122"/>
        <v>2000000</v>
      </c>
    </row>
    <row r="1709" spans="1:12" s="171" customFormat="1" ht="15" hidden="1">
      <c r="A1709" s="543"/>
      <c r="B1709" s="451"/>
      <c r="C1709" s="402"/>
      <c r="D1709" s="454"/>
      <c r="E1709" s="323" t="s">
        <v>18</v>
      </c>
      <c r="F1709" s="231">
        <v>183947.54000000004</v>
      </c>
      <c r="G1709" s="546"/>
      <c r="H1709" s="326"/>
      <c r="I1709" s="233"/>
      <c r="J1709" s="504"/>
      <c r="K1709" s="323"/>
      <c r="L1709" s="69">
        <f t="shared" si="122"/>
        <v>183947.54000000004</v>
      </c>
    </row>
    <row r="1710" spans="1:12" s="171" customFormat="1" ht="15" hidden="1">
      <c r="A1710" s="541">
        <v>109</v>
      </c>
      <c r="B1710" s="449" t="s">
        <v>554</v>
      </c>
      <c r="C1710" s="400"/>
      <c r="D1710" s="452"/>
      <c r="E1710" s="81" t="s">
        <v>34</v>
      </c>
      <c r="F1710" s="165">
        <f>SUM(F1711:F1712)</f>
        <v>2134507.9</v>
      </c>
      <c r="G1710" s="544"/>
      <c r="H1710" s="333">
        <f>SUM(H1711:H1712)</f>
        <v>0</v>
      </c>
      <c r="I1710" s="333">
        <f>SUM(I1711:I1712)</f>
        <v>0</v>
      </c>
      <c r="J1710" s="502">
        <f>I1710/F1710*100</f>
        <v>0</v>
      </c>
      <c r="K1710" s="333">
        <f>SUM(K1711:K1712)</f>
        <v>0</v>
      </c>
      <c r="L1710" s="69">
        <f t="shared" si="122"/>
        <v>2134507.9</v>
      </c>
    </row>
    <row r="1711" spans="1:12" s="171" customFormat="1" ht="15" hidden="1">
      <c r="A1711" s="542"/>
      <c r="B1711" s="450"/>
      <c r="C1711" s="401"/>
      <c r="D1711" s="453"/>
      <c r="E1711" s="323" t="s">
        <v>75</v>
      </c>
      <c r="F1711" s="231">
        <v>2000000</v>
      </c>
      <c r="G1711" s="545"/>
      <c r="H1711" s="326"/>
      <c r="I1711" s="233"/>
      <c r="J1711" s="503"/>
      <c r="K1711" s="323"/>
      <c r="L1711" s="69">
        <f t="shared" si="122"/>
        <v>2000000</v>
      </c>
    </row>
    <row r="1712" spans="1:12" s="171" customFormat="1" ht="15" hidden="1">
      <c r="A1712" s="543"/>
      <c r="B1712" s="451"/>
      <c r="C1712" s="402"/>
      <c r="D1712" s="454"/>
      <c r="E1712" s="323" t="s">
        <v>18</v>
      </c>
      <c r="F1712" s="231">
        <v>134507.8999999999</v>
      </c>
      <c r="G1712" s="546"/>
      <c r="H1712" s="326"/>
      <c r="I1712" s="233"/>
      <c r="J1712" s="504"/>
      <c r="K1712" s="323"/>
      <c r="L1712" s="69">
        <f t="shared" si="122"/>
        <v>134507.8999999999</v>
      </c>
    </row>
    <row r="1713" spans="1:12" s="171" customFormat="1" ht="15" hidden="1">
      <c r="A1713" s="541">
        <v>110</v>
      </c>
      <c r="B1713" s="449" t="s">
        <v>555</v>
      </c>
      <c r="C1713" s="400"/>
      <c r="D1713" s="452"/>
      <c r="E1713" s="81" t="s">
        <v>34</v>
      </c>
      <c r="F1713" s="165">
        <f>SUM(F1714:F1715)</f>
        <v>10000000</v>
      </c>
      <c r="G1713" s="544"/>
      <c r="H1713" s="333">
        <f>SUM(H1714:H1715)</f>
        <v>0</v>
      </c>
      <c r="I1713" s="333">
        <f>SUM(I1714:I1715)</f>
        <v>0</v>
      </c>
      <c r="J1713" s="502">
        <f>I1713/F1713*100</f>
        <v>0</v>
      </c>
      <c r="K1713" s="333">
        <f>SUM(K1714:K1715)</f>
        <v>0</v>
      </c>
      <c r="L1713" s="69">
        <f t="shared" si="122"/>
        <v>10000000</v>
      </c>
    </row>
    <row r="1714" spans="1:12" s="171" customFormat="1" ht="15" hidden="1">
      <c r="A1714" s="542"/>
      <c r="B1714" s="450"/>
      <c r="C1714" s="401"/>
      <c r="D1714" s="453"/>
      <c r="E1714" s="323" t="s">
        <v>75</v>
      </c>
      <c r="F1714" s="231">
        <v>9500000</v>
      </c>
      <c r="G1714" s="545"/>
      <c r="H1714" s="326"/>
      <c r="I1714" s="233"/>
      <c r="J1714" s="503"/>
      <c r="K1714" s="323"/>
      <c r="L1714" s="69">
        <f t="shared" si="122"/>
        <v>9500000</v>
      </c>
    </row>
    <row r="1715" spans="1:12" s="171" customFormat="1" ht="15" hidden="1">
      <c r="A1715" s="543"/>
      <c r="B1715" s="451"/>
      <c r="C1715" s="402"/>
      <c r="D1715" s="454"/>
      <c r="E1715" s="323" t="s">
        <v>18</v>
      </c>
      <c r="F1715" s="231">
        <v>500000</v>
      </c>
      <c r="G1715" s="546"/>
      <c r="H1715" s="326"/>
      <c r="I1715" s="233"/>
      <c r="J1715" s="504"/>
      <c r="K1715" s="323"/>
      <c r="L1715" s="69">
        <f t="shared" si="122"/>
        <v>500000</v>
      </c>
    </row>
    <row r="1716" spans="1:12" s="171" customFormat="1" ht="15" hidden="1">
      <c r="A1716" s="541">
        <v>111</v>
      </c>
      <c r="B1716" s="449" t="s">
        <v>556</v>
      </c>
      <c r="C1716" s="400"/>
      <c r="D1716" s="452"/>
      <c r="E1716" s="81" t="s">
        <v>34</v>
      </c>
      <c r="F1716" s="165">
        <f>SUM(F1717:F1718)</f>
        <v>5041208.98</v>
      </c>
      <c r="G1716" s="544"/>
      <c r="H1716" s="333">
        <f>SUM(H1717:H1718)</f>
        <v>0</v>
      </c>
      <c r="I1716" s="333">
        <f>SUM(I1717:I1718)</f>
        <v>0</v>
      </c>
      <c r="J1716" s="502">
        <f>I1716/F1716*100</f>
        <v>0</v>
      </c>
      <c r="K1716" s="333">
        <f>SUM(K1717:K1718)</f>
        <v>0</v>
      </c>
      <c r="L1716" s="69">
        <f t="shared" si="122"/>
        <v>5041208.98</v>
      </c>
    </row>
    <row r="1717" spans="1:12" s="171" customFormat="1" ht="15" hidden="1">
      <c r="A1717" s="542"/>
      <c r="B1717" s="450"/>
      <c r="C1717" s="401"/>
      <c r="D1717" s="453"/>
      <c r="E1717" s="323" t="s">
        <v>75</v>
      </c>
      <c r="F1717" s="231">
        <v>4000000</v>
      </c>
      <c r="G1717" s="545"/>
      <c r="H1717" s="326"/>
      <c r="I1717" s="233"/>
      <c r="J1717" s="503"/>
      <c r="K1717" s="323"/>
      <c r="L1717" s="69">
        <f t="shared" si="122"/>
        <v>4000000</v>
      </c>
    </row>
    <row r="1718" spans="1:12" s="171" customFormat="1" ht="15" hidden="1">
      <c r="A1718" s="543"/>
      <c r="B1718" s="451"/>
      <c r="C1718" s="402"/>
      <c r="D1718" s="454"/>
      <c r="E1718" s="323" t="s">
        <v>18</v>
      </c>
      <c r="F1718" s="231">
        <v>1041208.9800000004</v>
      </c>
      <c r="G1718" s="546"/>
      <c r="H1718" s="326"/>
      <c r="I1718" s="233"/>
      <c r="J1718" s="504"/>
      <c r="K1718" s="323"/>
      <c r="L1718" s="69">
        <f t="shared" si="122"/>
        <v>1041208.9800000004</v>
      </c>
    </row>
    <row r="1719" spans="1:12" s="171" customFormat="1" ht="15" hidden="1">
      <c r="A1719" s="541">
        <v>112</v>
      </c>
      <c r="B1719" s="449" t="s">
        <v>557</v>
      </c>
      <c r="C1719" s="400"/>
      <c r="D1719" s="452"/>
      <c r="E1719" s="81" t="s">
        <v>34</v>
      </c>
      <c r="F1719" s="165">
        <f>SUM(F1720:F1721)</f>
        <v>2436166.64</v>
      </c>
      <c r="G1719" s="544"/>
      <c r="H1719" s="333">
        <f>SUM(H1720:H1721)</f>
        <v>0</v>
      </c>
      <c r="I1719" s="333">
        <f>SUM(I1720:I1721)</f>
        <v>0</v>
      </c>
      <c r="J1719" s="502">
        <f>I1719/F1719*100</f>
        <v>0</v>
      </c>
      <c r="K1719" s="333">
        <f>SUM(K1720:K1721)</f>
        <v>0</v>
      </c>
      <c r="L1719" s="69">
        <f t="shared" si="122"/>
        <v>2436166.64</v>
      </c>
    </row>
    <row r="1720" spans="1:12" s="171" customFormat="1" ht="15" hidden="1">
      <c r="A1720" s="542"/>
      <c r="B1720" s="450"/>
      <c r="C1720" s="401"/>
      <c r="D1720" s="453"/>
      <c r="E1720" s="323" t="s">
        <v>75</v>
      </c>
      <c r="F1720" s="231">
        <v>2314358.3</v>
      </c>
      <c r="G1720" s="545"/>
      <c r="H1720" s="326"/>
      <c r="I1720" s="233"/>
      <c r="J1720" s="503"/>
      <c r="K1720" s="323"/>
      <c r="L1720" s="69">
        <f t="shared" si="122"/>
        <v>2314358.3</v>
      </c>
    </row>
    <row r="1721" spans="1:12" s="171" customFormat="1" ht="15" hidden="1">
      <c r="A1721" s="543"/>
      <c r="B1721" s="451"/>
      <c r="C1721" s="402"/>
      <c r="D1721" s="454"/>
      <c r="E1721" s="323" t="s">
        <v>18</v>
      </c>
      <c r="F1721" s="231">
        <v>121808.34000000032</v>
      </c>
      <c r="G1721" s="546"/>
      <c r="H1721" s="326"/>
      <c r="I1721" s="233"/>
      <c r="J1721" s="504"/>
      <c r="K1721" s="323"/>
      <c r="L1721" s="69">
        <f t="shared" si="122"/>
        <v>121808.34000000032</v>
      </c>
    </row>
    <row r="1722" spans="1:12" s="171" customFormat="1" ht="15" hidden="1">
      <c r="A1722" s="541">
        <v>113</v>
      </c>
      <c r="B1722" s="449" t="s">
        <v>558</v>
      </c>
      <c r="C1722" s="400"/>
      <c r="D1722" s="452"/>
      <c r="E1722" s="81" t="s">
        <v>34</v>
      </c>
      <c r="F1722" s="165">
        <f>SUM(F1723:F1724)</f>
        <v>3199062.6</v>
      </c>
      <c r="G1722" s="544"/>
      <c r="H1722" s="333">
        <f>SUM(H1723:H1724)</f>
        <v>0</v>
      </c>
      <c r="I1722" s="333">
        <f>SUM(I1723:I1724)</f>
        <v>0</v>
      </c>
      <c r="J1722" s="502">
        <f>I1722/F1722*100</f>
        <v>0</v>
      </c>
      <c r="K1722" s="333">
        <f>SUM(K1723:K1724)</f>
        <v>0</v>
      </c>
      <c r="L1722" s="69">
        <f t="shared" si="122"/>
        <v>3199062.6</v>
      </c>
    </row>
    <row r="1723" spans="1:12" s="171" customFormat="1" ht="15" hidden="1">
      <c r="A1723" s="542"/>
      <c r="B1723" s="450"/>
      <c r="C1723" s="401"/>
      <c r="D1723" s="453"/>
      <c r="E1723" s="323" t="s">
        <v>75</v>
      </c>
      <c r="F1723" s="231">
        <v>3000000</v>
      </c>
      <c r="G1723" s="545"/>
      <c r="H1723" s="326"/>
      <c r="I1723" s="233"/>
      <c r="J1723" s="503"/>
      <c r="K1723" s="323"/>
      <c r="L1723" s="69">
        <f t="shared" si="122"/>
        <v>3000000</v>
      </c>
    </row>
    <row r="1724" spans="1:12" s="171" customFormat="1" ht="15" hidden="1">
      <c r="A1724" s="543"/>
      <c r="B1724" s="451"/>
      <c r="C1724" s="402"/>
      <c r="D1724" s="454"/>
      <c r="E1724" s="323" t="s">
        <v>18</v>
      </c>
      <c r="F1724" s="231">
        <v>199062.6000000001</v>
      </c>
      <c r="G1724" s="546"/>
      <c r="H1724" s="326"/>
      <c r="I1724" s="233"/>
      <c r="J1724" s="504"/>
      <c r="K1724" s="323"/>
      <c r="L1724" s="69">
        <f t="shared" si="122"/>
        <v>199062.6000000001</v>
      </c>
    </row>
    <row r="1725" spans="1:12" s="171" customFormat="1" ht="15" hidden="1">
      <c r="A1725" s="541">
        <v>114</v>
      </c>
      <c r="B1725" s="449" t="s">
        <v>559</v>
      </c>
      <c r="C1725" s="400"/>
      <c r="D1725" s="452"/>
      <c r="E1725" s="81" t="s">
        <v>34</v>
      </c>
      <c r="F1725" s="165">
        <f>SUM(F1726:F1727)</f>
        <v>3200011.32</v>
      </c>
      <c r="G1725" s="544"/>
      <c r="H1725" s="333">
        <f>SUM(H1726:H1727)</f>
        <v>0</v>
      </c>
      <c r="I1725" s="333">
        <f>SUM(I1726:I1727)</f>
        <v>0</v>
      </c>
      <c r="J1725" s="502">
        <f>I1725/F1725*100</f>
        <v>0</v>
      </c>
      <c r="K1725" s="333">
        <f>SUM(K1726:K1727)</f>
        <v>0</v>
      </c>
      <c r="L1725" s="69">
        <f t="shared" si="122"/>
        <v>3200011.32</v>
      </c>
    </row>
    <row r="1726" spans="1:12" s="171" customFormat="1" ht="15" hidden="1">
      <c r="A1726" s="542"/>
      <c r="B1726" s="450"/>
      <c r="C1726" s="401"/>
      <c r="D1726" s="453"/>
      <c r="E1726" s="323" t="s">
        <v>75</v>
      </c>
      <c r="F1726" s="231">
        <v>3000000</v>
      </c>
      <c r="G1726" s="545"/>
      <c r="H1726" s="326"/>
      <c r="I1726" s="233"/>
      <c r="J1726" s="503"/>
      <c r="K1726" s="323"/>
      <c r="L1726" s="69">
        <f t="shared" si="122"/>
        <v>3000000</v>
      </c>
    </row>
    <row r="1727" spans="1:12" s="171" customFormat="1" ht="15" hidden="1">
      <c r="A1727" s="543"/>
      <c r="B1727" s="451"/>
      <c r="C1727" s="402"/>
      <c r="D1727" s="454"/>
      <c r="E1727" s="323" t="s">
        <v>18</v>
      </c>
      <c r="F1727" s="231">
        <v>200011.31999999983</v>
      </c>
      <c r="G1727" s="546"/>
      <c r="H1727" s="326"/>
      <c r="I1727" s="233"/>
      <c r="J1727" s="504"/>
      <c r="K1727" s="323"/>
      <c r="L1727" s="69">
        <f t="shared" si="122"/>
        <v>200011.31999999983</v>
      </c>
    </row>
    <row r="1728" spans="1:12" s="171" customFormat="1" ht="15" hidden="1">
      <c r="A1728" s="541">
        <v>115</v>
      </c>
      <c r="B1728" s="449" t="s">
        <v>560</v>
      </c>
      <c r="C1728" s="400"/>
      <c r="D1728" s="452"/>
      <c r="E1728" s="81" t="s">
        <v>34</v>
      </c>
      <c r="F1728" s="165">
        <f>SUM(F1729:F1730)</f>
        <v>3882484.38</v>
      </c>
      <c r="G1728" s="544"/>
      <c r="H1728" s="333">
        <f>SUM(H1729:H1730)</f>
        <v>0</v>
      </c>
      <c r="I1728" s="333">
        <f>SUM(I1729:I1730)</f>
        <v>0</v>
      </c>
      <c r="J1728" s="502">
        <f>I1728/F1728*100</f>
        <v>0</v>
      </c>
      <c r="K1728" s="333">
        <f>SUM(K1729:K1730)</f>
        <v>0</v>
      </c>
      <c r="L1728" s="69">
        <f t="shared" si="122"/>
        <v>3882484.38</v>
      </c>
    </row>
    <row r="1729" spans="1:12" s="171" customFormat="1" ht="15" hidden="1">
      <c r="A1729" s="542"/>
      <c r="B1729" s="450"/>
      <c r="C1729" s="401"/>
      <c r="D1729" s="453"/>
      <c r="E1729" s="323" t="s">
        <v>75</v>
      </c>
      <c r="F1729" s="231">
        <v>3688360.16</v>
      </c>
      <c r="G1729" s="545"/>
      <c r="H1729" s="326"/>
      <c r="I1729" s="233"/>
      <c r="J1729" s="503"/>
      <c r="K1729" s="323"/>
      <c r="L1729" s="69">
        <f t="shared" si="122"/>
        <v>3688360.16</v>
      </c>
    </row>
    <row r="1730" spans="1:12" s="171" customFormat="1" ht="15" hidden="1">
      <c r="A1730" s="543"/>
      <c r="B1730" s="451"/>
      <c r="C1730" s="402"/>
      <c r="D1730" s="454"/>
      <c r="E1730" s="323" t="s">
        <v>18</v>
      </c>
      <c r="F1730" s="231">
        <v>194124.21999999974</v>
      </c>
      <c r="G1730" s="546"/>
      <c r="H1730" s="326"/>
      <c r="I1730" s="233"/>
      <c r="J1730" s="504"/>
      <c r="K1730" s="323"/>
      <c r="L1730" s="69">
        <f t="shared" si="122"/>
        <v>194124.21999999974</v>
      </c>
    </row>
    <row r="1731" spans="1:12" s="171" customFormat="1" ht="15" hidden="1">
      <c r="A1731" s="541">
        <v>116</v>
      </c>
      <c r="B1731" s="449" t="s">
        <v>561</v>
      </c>
      <c r="C1731" s="400"/>
      <c r="D1731" s="452"/>
      <c r="E1731" s="81" t="s">
        <v>34</v>
      </c>
      <c r="F1731" s="165">
        <f>SUM(F1732:F1733)</f>
        <v>4533221.34</v>
      </c>
      <c r="G1731" s="544"/>
      <c r="H1731" s="333">
        <f>SUM(H1732:H1733)</f>
        <v>0</v>
      </c>
      <c r="I1731" s="333">
        <f>SUM(I1732:I1733)</f>
        <v>0</v>
      </c>
      <c r="J1731" s="502">
        <f>I1731/F1731*100</f>
        <v>0</v>
      </c>
      <c r="K1731" s="333">
        <f>SUM(K1732:K1733)</f>
        <v>0</v>
      </c>
      <c r="L1731" s="69">
        <f t="shared" si="122"/>
        <v>4533221.34</v>
      </c>
    </row>
    <row r="1732" spans="1:12" s="171" customFormat="1" ht="15" hidden="1">
      <c r="A1732" s="542"/>
      <c r="B1732" s="450"/>
      <c r="C1732" s="401"/>
      <c r="D1732" s="453"/>
      <c r="E1732" s="323" t="s">
        <v>75</v>
      </c>
      <c r="F1732" s="231">
        <v>4306560.27</v>
      </c>
      <c r="G1732" s="545"/>
      <c r="H1732" s="326"/>
      <c r="I1732" s="233"/>
      <c r="J1732" s="503"/>
      <c r="K1732" s="323"/>
      <c r="L1732" s="69">
        <f t="shared" si="122"/>
        <v>4306560.27</v>
      </c>
    </row>
    <row r="1733" spans="1:12" s="171" customFormat="1" ht="15" hidden="1">
      <c r="A1733" s="543"/>
      <c r="B1733" s="451"/>
      <c r="C1733" s="402"/>
      <c r="D1733" s="454"/>
      <c r="E1733" s="323" t="s">
        <v>18</v>
      </c>
      <c r="F1733" s="231">
        <v>226661.0700000003</v>
      </c>
      <c r="G1733" s="546"/>
      <c r="H1733" s="326"/>
      <c r="I1733" s="233"/>
      <c r="J1733" s="504"/>
      <c r="K1733" s="323"/>
      <c r="L1733" s="69">
        <f t="shared" si="122"/>
        <v>226661.0700000003</v>
      </c>
    </row>
    <row r="1734" spans="1:12" s="171" customFormat="1" ht="15" hidden="1">
      <c r="A1734" s="541">
        <v>117</v>
      </c>
      <c r="B1734" s="449" t="s">
        <v>562</v>
      </c>
      <c r="C1734" s="400"/>
      <c r="D1734" s="452"/>
      <c r="E1734" s="81" t="s">
        <v>34</v>
      </c>
      <c r="F1734" s="165">
        <f>SUM(F1735:F1736)</f>
        <v>3669625.36</v>
      </c>
      <c r="G1734" s="544"/>
      <c r="H1734" s="333">
        <f>SUM(H1735:H1736)</f>
        <v>0</v>
      </c>
      <c r="I1734" s="333">
        <f>SUM(I1735:I1736)</f>
        <v>0</v>
      </c>
      <c r="J1734" s="502">
        <f>I1734/F1734*100</f>
        <v>0</v>
      </c>
      <c r="K1734" s="333">
        <f>SUM(K1735:K1736)</f>
        <v>0</v>
      </c>
      <c r="L1734" s="69">
        <f t="shared" si="122"/>
        <v>3669625.36</v>
      </c>
    </row>
    <row r="1735" spans="1:12" s="171" customFormat="1" ht="15" hidden="1">
      <c r="A1735" s="542"/>
      <c r="B1735" s="450"/>
      <c r="C1735" s="401"/>
      <c r="D1735" s="453"/>
      <c r="E1735" s="323" t="s">
        <v>75</v>
      </c>
      <c r="F1735" s="231">
        <v>3486144.09</v>
      </c>
      <c r="G1735" s="545"/>
      <c r="H1735" s="326"/>
      <c r="I1735" s="233"/>
      <c r="J1735" s="503"/>
      <c r="K1735" s="323"/>
      <c r="L1735" s="69">
        <f t="shared" si="122"/>
        <v>3486144.09</v>
      </c>
    </row>
    <row r="1736" spans="1:12" s="171" customFormat="1" ht="15" hidden="1">
      <c r="A1736" s="543"/>
      <c r="B1736" s="451"/>
      <c r="C1736" s="402"/>
      <c r="D1736" s="454"/>
      <c r="E1736" s="323" t="s">
        <v>18</v>
      </c>
      <c r="F1736" s="231">
        <v>183481.27000000002</v>
      </c>
      <c r="G1736" s="546"/>
      <c r="H1736" s="326"/>
      <c r="I1736" s="233"/>
      <c r="J1736" s="504"/>
      <c r="K1736" s="323"/>
      <c r="L1736" s="69">
        <f t="shared" si="122"/>
        <v>183481.27000000002</v>
      </c>
    </row>
    <row r="1737" spans="1:12" s="171" customFormat="1" ht="12.75" customHeight="1" hidden="1">
      <c r="A1737" s="186"/>
      <c r="B1737" s="348" t="s">
        <v>86</v>
      </c>
      <c r="C1737" s="107"/>
      <c r="D1737" s="330"/>
      <c r="E1737" s="330" t="s">
        <v>75</v>
      </c>
      <c r="F1737" s="166">
        <v>600300.53</v>
      </c>
      <c r="G1737" s="214"/>
      <c r="H1737" s="326"/>
      <c r="I1737" s="323"/>
      <c r="J1737" s="323"/>
      <c r="K1737" s="323"/>
      <c r="L1737" s="69">
        <f t="shared" si="122"/>
        <v>600300.53</v>
      </c>
    </row>
    <row r="1738" spans="1:12" ht="18.75" hidden="1">
      <c r="A1738" s="90"/>
      <c r="B1738" s="139"/>
      <c r="C1738" s="140"/>
      <c r="D1738" s="141"/>
      <c r="F1738" s="168"/>
      <c r="G1738" s="142"/>
      <c r="H1738" s="143"/>
      <c r="I1738" s="78"/>
      <c r="J1738" s="78"/>
      <c r="K1738" s="78"/>
      <c r="L1738" s="333"/>
    </row>
    <row r="1739" spans="1:12" ht="15" hidden="1">
      <c r="A1739" s="532"/>
      <c r="B1739" s="373" t="s">
        <v>137</v>
      </c>
      <c r="C1739" s="333"/>
      <c r="D1739" s="323"/>
      <c r="E1739" s="81" t="s">
        <v>34</v>
      </c>
      <c r="F1739" s="165">
        <f>F1740+F1741+F1742</f>
        <v>1329266976.6399999</v>
      </c>
      <c r="G1739" s="384"/>
      <c r="H1739" s="333"/>
      <c r="I1739" s="74">
        <f>I1740+I1741+I1742</f>
        <v>590000</v>
      </c>
      <c r="J1739" s="502">
        <f>I1739/F1739*100</f>
        <v>0.044385365044676606</v>
      </c>
      <c r="K1739" s="333">
        <f>K1740+K1741+K1742</f>
        <v>0</v>
      </c>
      <c r="L1739" s="333">
        <f>F1739-K1739</f>
        <v>1329266976.6399999</v>
      </c>
    </row>
    <row r="1740" spans="1:12" ht="15" hidden="1">
      <c r="A1740" s="532"/>
      <c r="B1740" s="373"/>
      <c r="C1740" s="333"/>
      <c r="D1740" s="323"/>
      <c r="E1740" s="81" t="s">
        <v>74</v>
      </c>
      <c r="F1740" s="165">
        <f>SUM(F1277)</f>
        <v>464015900</v>
      </c>
      <c r="G1740" s="384"/>
      <c r="H1740" s="333">
        <f>SUM(H1277)</f>
        <v>0</v>
      </c>
      <c r="I1740" s="74">
        <f>SUM(I1277)</f>
        <v>0</v>
      </c>
      <c r="J1740" s="503"/>
      <c r="K1740" s="333">
        <f>SUM(K1277)</f>
        <v>0</v>
      </c>
      <c r="L1740" s="333">
        <f>F1740-K1740</f>
        <v>464015900</v>
      </c>
    </row>
    <row r="1741" spans="1:12" ht="15" hidden="1">
      <c r="A1741" s="532"/>
      <c r="B1741" s="373"/>
      <c r="C1741" s="333"/>
      <c r="D1741" s="323"/>
      <c r="E1741" s="333" t="s">
        <v>75</v>
      </c>
      <c r="F1741" s="165">
        <f>SUM(F1384,F1370,F1278,F1356)</f>
        <v>839306101.93</v>
      </c>
      <c r="G1741" s="384"/>
      <c r="H1741" s="333">
        <f>SUM(H1384,H1371,H1278)</f>
        <v>0</v>
      </c>
      <c r="I1741" s="74">
        <f>SUM(I1384,I1370,I1278)</f>
        <v>590000</v>
      </c>
      <c r="J1741" s="503"/>
      <c r="K1741" s="333">
        <f>SUM(K1384,K1370,K1278)</f>
        <v>0</v>
      </c>
      <c r="L1741" s="333">
        <f>F1741-K1741</f>
        <v>839306101.93</v>
      </c>
    </row>
    <row r="1742" spans="1:12" ht="15" hidden="1">
      <c r="A1742" s="532"/>
      <c r="B1742" s="373"/>
      <c r="C1742" s="333"/>
      <c r="D1742" s="323"/>
      <c r="E1742" s="333" t="s">
        <v>18</v>
      </c>
      <c r="F1742" s="165">
        <f>SUM(F1385,F1279)</f>
        <v>25944974.71000001</v>
      </c>
      <c r="G1742" s="384"/>
      <c r="H1742" s="333">
        <f>SUM(H1385,H1279)</f>
        <v>0</v>
      </c>
      <c r="I1742" s="74">
        <f>SUM(I1385,I1279)</f>
        <v>0</v>
      </c>
      <c r="J1742" s="504"/>
      <c r="K1742" s="333">
        <f>SUM(K1385,K1279)</f>
        <v>0</v>
      </c>
      <c r="L1742" s="333">
        <f>F1742-K1742</f>
        <v>25944974.71000001</v>
      </c>
    </row>
    <row r="1743" spans="2:12" ht="39.75" customHeight="1" hidden="1">
      <c r="B1743" s="175" t="s">
        <v>298</v>
      </c>
      <c r="C1743" s="180">
        <f>C1273+C1382</f>
        <v>161.41500000000002</v>
      </c>
      <c r="F1743" s="176">
        <f>F1273+F1382</f>
        <v>5013676489.83</v>
      </c>
      <c r="G1743" s="144"/>
      <c r="I1743" s="176">
        <f>I1273+I1382</f>
        <v>1008566484.18</v>
      </c>
      <c r="L1743" s="333"/>
    </row>
    <row r="1744" spans="1:12" s="171" customFormat="1" ht="15" hidden="1">
      <c r="A1744" s="448" t="s">
        <v>9</v>
      </c>
      <c r="B1744" s="448"/>
      <c r="C1744" s="523"/>
      <c r="D1744" s="410"/>
      <c r="E1744" s="81" t="s">
        <v>34</v>
      </c>
      <c r="F1744" s="160">
        <f>F1745+F1746+F1747</f>
        <v>7271678967.55</v>
      </c>
      <c r="G1744" s="98"/>
      <c r="H1744" s="540"/>
      <c r="I1744" s="71">
        <f>I1745+I1746+I1747</f>
        <v>1008566484.18</v>
      </c>
      <c r="J1744" s="502">
        <f>I1744/F1744*100</f>
        <v>13.869788375982303</v>
      </c>
      <c r="K1744" s="71">
        <f>K1745+K1746+K1747</f>
        <v>1146086349</v>
      </c>
      <c r="L1744" s="190" t="e">
        <f>L1745+L1746+L1747</f>
        <v>#REF!</v>
      </c>
    </row>
    <row r="1745" spans="1:12" s="171" customFormat="1" ht="15" hidden="1">
      <c r="A1745" s="448"/>
      <c r="B1745" s="448"/>
      <c r="C1745" s="523"/>
      <c r="D1745" s="410"/>
      <c r="E1745" s="145" t="s">
        <v>74</v>
      </c>
      <c r="F1745" s="169">
        <f>SUM(F1740,F1270)</f>
        <v>1464015900</v>
      </c>
      <c r="G1745" s="98"/>
      <c r="H1745" s="540"/>
      <c r="I1745" s="79">
        <f>SUM(I1740,I1270)</f>
        <v>0</v>
      </c>
      <c r="J1745" s="503"/>
      <c r="K1745" s="79">
        <f aca="true" t="shared" si="123" ref="K1745:L1747">SUM(K1740,K1270)</f>
        <v>0</v>
      </c>
      <c r="L1745" s="187" t="e">
        <f t="shared" si="123"/>
        <v>#REF!</v>
      </c>
    </row>
    <row r="1746" spans="1:12" s="171" customFormat="1" ht="15" hidden="1">
      <c r="A1746" s="448"/>
      <c r="B1746" s="448"/>
      <c r="C1746" s="523"/>
      <c r="D1746" s="410"/>
      <c r="E1746" s="145" t="s">
        <v>75</v>
      </c>
      <c r="F1746" s="169">
        <f>SUM(F1741,F1271)</f>
        <v>5740091989.34</v>
      </c>
      <c r="G1746" s="98"/>
      <c r="H1746" s="540"/>
      <c r="I1746" s="79">
        <f>SUM(I1741,I1271)</f>
        <v>1008566484.18</v>
      </c>
      <c r="J1746" s="503"/>
      <c r="K1746" s="79">
        <f t="shared" si="123"/>
        <v>1146086349</v>
      </c>
      <c r="L1746" s="187" t="e">
        <f t="shared" si="123"/>
        <v>#REF!</v>
      </c>
    </row>
    <row r="1747" spans="1:12" s="171" customFormat="1" ht="15" hidden="1">
      <c r="A1747" s="448"/>
      <c r="B1747" s="448"/>
      <c r="C1747" s="523"/>
      <c r="D1747" s="410"/>
      <c r="E1747" s="145" t="s">
        <v>18</v>
      </c>
      <c r="F1747" s="169">
        <f>SUM(F1742,F1272)</f>
        <v>67571078.21000001</v>
      </c>
      <c r="G1747" s="98"/>
      <c r="H1747" s="540"/>
      <c r="I1747" s="79">
        <f>SUM(I1742,I1272)</f>
        <v>0</v>
      </c>
      <c r="J1747" s="504"/>
      <c r="K1747" s="79">
        <f t="shared" si="123"/>
        <v>0</v>
      </c>
      <c r="L1747" s="187" t="e">
        <f t="shared" si="123"/>
        <v>#REF!</v>
      </c>
    </row>
    <row r="1748" spans="1:12" s="171" customFormat="1" ht="15" hidden="1">
      <c r="A1748" s="188"/>
      <c r="B1748" s="98"/>
      <c r="C1748" s="332"/>
      <c r="D1748" s="305"/>
      <c r="E1748" s="145"/>
      <c r="F1748" s="169"/>
      <c r="G1748" s="98"/>
      <c r="H1748" s="333"/>
      <c r="I1748" s="146"/>
      <c r="J1748" s="301"/>
      <c r="K1748" s="79"/>
      <c r="L1748" s="187"/>
    </row>
    <row r="1749" spans="1:12" s="171" customFormat="1" ht="15" hidden="1">
      <c r="A1749" s="188"/>
      <c r="B1749" s="150"/>
      <c r="C1749" s="332"/>
      <c r="D1749" s="305"/>
      <c r="E1749" s="145"/>
      <c r="F1749" s="169"/>
      <c r="G1749" s="98"/>
      <c r="H1749" s="333"/>
      <c r="I1749" s="146"/>
      <c r="J1749" s="301"/>
      <c r="K1749" s="79"/>
      <c r="L1749" s="187"/>
    </row>
    <row r="1750" spans="1:12" s="171" customFormat="1" ht="15" hidden="1">
      <c r="A1750" s="188"/>
      <c r="B1750" s="277" t="s">
        <v>159</v>
      </c>
      <c r="C1750" s="332"/>
      <c r="D1750" s="305"/>
      <c r="E1750" s="145"/>
      <c r="F1750" s="169"/>
      <c r="G1750" s="98"/>
      <c r="H1750" s="333"/>
      <c r="I1750" s="146"/>
      <c r="J1750" s="301"/>
      <c r="K1750" s="79"/>
      <c r="L1750" s="187"/>
    </row>
    <row r="1751" spans="1:12" s="171" customFormat="1" ht="15" hidden="1">
      <c r="A1751" s="186"/>
      <c r="B1751" s="278" t="s">
        <v>563</v>
      </c>
      <c r="C1751" s="107"/>
      <c r="D1751" s="330"/>
      <c r="E1751" s="127" t="s">
        <v>75</v>
      </c>
      <c r="F1751" s="169">
        <v>47968826.8</v>
      </c>
      <c r="G1751" s="348"/>
      <c r="H1751" s="384"/>
      <c r="I1751" s="79"/>
      <c r="J1751" s="333">
        <f>I1751/F1751*100</f>
        <v>0</v>
      </c>
      <c r="K1751" s="79"/>
      <c r="L1751" s="187">
        <f>F1751-K1751</f>
        <v>47968826.8</v>
      </c>
    </row>
    <row r="1752" spans="1:12" s="171" customFormat="1" ht="15" hidden="1">
      <c r="A1752" s="202"/>
      <c r="B1752" s="279" t="s">
        <v>564</v>
      </c>
      <c r="C1752" s="296"/>
      <c r="D1752" s="291"/>
      <c r="E1752" s="81" t="s">
        <v>75</v>
      </c>
      <c r="F1752" s="169">
        <v>783937.19</v>
      </c>
      <c r="G1752" s="348"/>
      <c r="H1752" s="384"/>
      <c r="I1752" s="79"/>
      <c r="J1752" s="333">
        <f>I1752/F1752*100</f>
        <v>0</v>
      </c>
      <c r="K1752" s="79"/>
      <c r="L1752" s="187">
        <f>F1752-K1752</f>
        <v>783937.19</v>
      </c>
    </row>
    <row r="1753" spans="1:12" s="171" customFormat="1" ht="15" hidden="1">
      <c r="A1753" s="186"/>
      <c r="B1753" s="278" t="s">
        <v>565</v>
      </c>
      <c r="C1753" s="107"/>
      <c r="D1753" s="330"/>
      <c r="E1753" s="127" t="s">
        <v>75</v>
      </c>
      <c r="F1753" s="280">
        <v>1150000</v>
      </c>
      <c r="G1753" s="348"/>
      <c r="H1753" s="384"/>
      <c r="I1753" s="207"/>
      <c r="J1753" s="333">
        <f>I1753/F1753*100</f>
        <v>0</v>
      </c>
      <c r="K1753" s="207"/>
      <c r="L1753" s="187">
        <f>F1753-K1753</f>
        <v>1150000</v>
      </c>
    </row>
    <row r="1754" spans="1:12" s="171" customFormat="1" ht="15" hidden="1">
      <c r="A1754" s="539" t="s">
        <v>10</v>
      </c>
      <c r="B1754" s="539"/>
      <c r="C1754" s="533"/>
      <c r="D1754" s="534"/>
      <c r="E1754" s="81" t="s">
        <v>34</v>
      </c>
      <c r="F1754" s="165">
        <f>SUM(F1755:F1757)</f>
        <v>7321581731.54</v>
      </c>
      <c r="G1754" s="348"/>
      <c r="H1754" s="384"/>
      <c r="I1754" s="74">
        <f>SUM(I1755:I1757)</f>
        <v>1008566484.18</v>
      </c>
      <c r="J1754" s="502">
        <f>I1754/F1754*100</f>
        <v>13.775254052485472</v>
      </c>
      <c r="K1754" s="333">
        <f>SUM(K1755:K1757)</f>
        <v>1146086349</v>
      </c>
      <c r="L1754" s="69" t="e">
        <f>SUM(L1755:L1757)</f>
        <v>#REF!</v>
      </c>
    </row>
    <row r="1755" spans="1:12" s="171" customFormat="1" ht="15" hidden="1">
      <c r="A1755" s="539"/>
      <c r="B1755" s="539"/>
      <c r="C1755" s="533"/>
      <c r="D1755" s="534"/>
      <c r="E1755" s="145" t="s">
        <v>74</v>
      </c>
      <c r="F1755" s="280">
        <f>SUM(F1745)</f>
        <v>1464015900</v>
      </c>
      <c r="G1755" s="348"/>
      <c r="H1755" s="384"/>
      <c r="I1755" s="205">
        <f>SUM(I1745)</f>
        <v>0</v>
      </c>
      <c r="J1755" s="503"/>
      <c r="K1755" s="207">
        <f>SUM(K1740,K1270)</f>
        <v>0</v>
      </c>
      <c r="L1755" s="203" t="e">
        <f>SUM(L1740,L1270)</f>
        <v>#REF!</v>
      </c>
    </row>
    <row r="1756" spans="1:12" s="171" customFormat="1" ht="15" hidden="1">
      <c r="A1756" s="539"/>
      <c r="B1756" s="539"/>
      <c r="C1756" s="533"/>
      <c r="D1756" s="534"/>
      <c r="E1756" s="145" t="s">
        <v>75</v>
      </c>
      <c r="F1756" s="280">
        <f>SUM(F1746,F1751,F1752,F1753)</f>
        <v>5789994753.33</v>
      </c>
      <c r="G1756" s="348"/>
      <c r="H1756" s="384"/>
      <c r="I1756" s="205">
        <f>SUM(I1746,I1751,I1752,I1753)</f>
        <v>1008566484.18</v>
      </c>
      <c r="J1756" s="503"/>
      <c r="K1756" s="207">
        <f>SUM(K1746,K1751,K1752,K1753)</f>
        <v>1146086349</v>
      </c>
      <c r="L1756" s="203" t="e">
        <f>SUM(L1746,L1751,L1752,L1753)</f>
        <v>#REF!</v>
      </c>
    </row>
    <row r="1757" spans="1:12" s="171" customFormat="1" ht="15" hidden="1">
      <c r="A1757" s="539"/>
      <c r="B1757" s="539"/>
      <c r="C1757" s="533"/>
      <c r="D1757" s="534"/>
      <c r="E1757" s="206" t="s">
        <v>18</v>
      </c>
      <c r="F1757" s="280">
        <f>SUM(F1747)</f>
        <v>67571078.21000001</v>
      </c>
      <c r="G1757" s="348"/>
      <c r="H1757" s="384"/>
      <c r="I1757" s="205">
        <f>SUM(I1747)</f>
        <v>0</v>
      </c>
      <c r="J1757" s="504"/>
      <c r="K1757" s="207">
        <f>SUM(K1747)</f>
        <v>0</v>
      </c>
      <c r="L1757" s="203" t="e">
        <f>SUM(L1747)</f>
        <v>#REF!</v>
      </c>
    </row>
    <row r="1758" spans="1:12" ht="15" hidden="1">
      <c r="A1758" s="150"/>
      <c r="B1758" s="150"/>
      <c r="C1758" s="332"/>
      <c r="D1758" s="305"/>
      <c r="E1758" s="145"/>
      <c r="F1758" s="169"/>
      <c r="G1758" s="98"/>
      <c r="H1758" s="333"/>
      <c r="I1758" s="146"/>
      <c r="J1758" s="301"/>
      <c r="K1758" s="79"/>
      <c r="L1758" s="79"/>
    </row>
    <row r="1759" spans="2:12" ht="15" hidden="1">
      <c r="B1759" s="348" t="s">
        <v>159</v>
      </c>
      <c r="F1759" s="169"/>
      <c r="L1759" s="79"/>
    </row>
    <row r="1760" spans="2:12" ht="20.25" customHeight="1" hidden="1">
      <c r="B1760" s="155"/>
      <c r="E1760" s="127"/>
      <c r="F1760" s="169"/>
      <c r="L1760" s="79"/>
    </row>
    <row r="1761" spans="1:12" ht="59.25" customHeight="1" hidden="1">
      <c r="A1761" s="186"/>
      <c r="B1761" s="155" t="s">
        <v>337</v>
      </c>
      <c r="E1761" s="127" t="s">
        <v>74</v>
      </c>
      <c r="F1761" s="281">
        <f>F1798</f>
        <v>45814500</v>
      </c>
      <c r="I1761" s="79"/>
      <c r="J1761" s="333">
        <f>I1761/F1761*100</f>
        <v>0</v>
      </c>
      <c r="L1761" s="184">
        <f>F1761-K1761</f>
        <v>45814500</v>
      </c>
    </row>
    <row r="1762" spans="1:12" ht="13.5" customHeight="1" hidden="1">
      <c r="A1762" s="535"/>
      <c r="B1762" s="536"/>
      <c r="C1762" s="536"/>
      <c r="D1762" s="536"/>
      <c r="E1762" s="536"/>
      <c r="F1762" s="536"/>
      <c r="G1762" s="536"/>
      <c r="H1762" s="536"/>
      <c r="I1762" s="536"/>
      <c r="J1762" s="536"/>
      <c r="K1762" s="536"/>
      <c r="L1762" s="183"/>
    </row>
    <row r="1763" spans="1:12" ht="13.5" customHeight="1" hidden="1">
      <c r="A1763" s="537" t="s">
        <v>587</v>
      </c>
      <c r="B1763" s="538"/>
      <c r="C1763" s="538"/>
      <c r="D1763" s="538"/>
      <c r="E1763" s="538"/>
      <c r="F1763" s="538"/>
      <c r="G1763" s="538"/>
      <c r="H1763" s="538"/>
      <c r="I1763" s="538"/>
      <c r="J1763" s="538"/>
      <c r="K1763" s="538"/>
      <c r="L1763" s="183"/>
    </row>
    <row r="1764" spans="1:12" ht="15" hidden="1">
      <c r="A1764" s="186"/>
      <c r="B1764" s="209" t="s">
        <v>566</v>
      </c>
      <c r="F1764" s="225">
        <f>F1765</f>
        <v>274700</v>
      </c>
      <c r="L1764" s="184"/>
    </row>
    <row r="1765" spans="1:12" ht="29.25" customHeight="1" hidden="1">
      <c r="A1765" s="177" t="s">
        <v>3</v>
      </c>
      <c r="B1765" s="97" t="s">
        <v>567</v>
      </c>
      <c r="E1765" s="330" t="s">
        <v>74</v>
      </c>
      <c r="F1765" s="125">
        <v>274700</v>
      </c>
      <c r="L1765" s="183"/>
    </row>
    <row r="1766" spans="1:12" ht="15" hidden="1">
      <c r="A1766" s="186"/>
      <c r="B1766" s="209" t="s">
        <v>568</v>
      </c>
      <c r="F1766" s="225">
        <f>F1767</f>
        <v>730600</v>
      </c>
      <c r="L1766" s="184"/>
    </row>
    <row r="1767" spans="1:12" ht="29.25" customHeight="1" hidden="1">
      <c r="A1767" s="177" t="s">
        <v>172</v>
      </c>
      <c r="B1767" s="97" t="s">
        <v>569</v>
      </c>
      <c r="E1767" s="330" t="s">
        <v>74</v>
      </c>
      <c r="F1767" s="125">
        <v>730600</v>
      </c>
      <c r="L1767" s="183"/>
    </row>
    <row r="1768" spans="1:12" ht="15" hidden="1">
      <c r="A1768" s="186"/>
      <c r="B1768" s="209" t="s">
        <v>314</v>
      </c>
      <c r="F1768" s="225">
        <f>SUM(F1769:F1771)</f>
        <v>3169300</v>
      </c>
      <c r="J1768" s="323">
        <f aca="true" t="shared" si="124" ref="J1768:J1790">I1768/F1768*100</f>
        <v>0</v>
      </c>
      <c r="L1768" s="184">
        <f aca="true" t="shared" si="125" ref="L1768:L1790">F1768-K1768</f>
        <v>3169300</v>
      </c>
    </row>
    <row r="1769" spans="1:12" ht="29.25" customHeight="1" hidden="1">
      <c r="A1769" s="177" t="s">
        <v>173</v>
      </c>
      <c r="B1769" s="97" t="s">
        <v>315</v>
      </c>
      <c r="E1769" s="330" t="s">
        <v>74</v>
      </c>
      <c r="F1769" s="125">
        <v>409600</v>
      </c>
      <c r="G1769" s="378" t="s">
        <v>632</v>
      </c>
      <c r="J1769" s="323">
        <f t="shared" si="124"/>
        <v>0</v>
      </c>
      <c r="L1769" s="183">
        <f t="shared" si="125"/>
        <v>409600</v>
      </c>
    </row>
    <row r="1770" spans="1:12" ht="29.25" customHeight="1" hidden="1">
      <c r="A1770" s="177" t="s">
        <v>79</v>
      </c>
      <c r="B1770" s="97" t="s">
        <v>316</v>
      </c>
      <c r="E1770" s="330" t="s">
        <v>74</v>
      </c>
      <c r="F1770" s="125">
        <v>408400</v>
      </c>
      <c r="G1770" s="379"/>
      <c r="J1770" s="323">
        <f t="shared" si="124"/>
        <v>0</v>
      </c>
      <c r="L1770" s="183">
        <f t="shared" si="125"/>
        <v>408400</v>
      </c>
    </row>
    <row r="1771" spans="1:12" ht="29.25" customHeight="1" hidden="1">
      <c r="A1771" s="177" t="s">
        <v>338</v>
      </c>
      <c r="B1771" s="97" t="s">
        <v>317</v>
      </c>
      <c r="E1771" s="330" t="s">
        <v>74</v>
      </c>
      <c r="F1771" s="125">
        <v>2351300</v>
      </c>
      <c r="G1771" s="380"/>
      <c r="J1771" s="323">
        <f t="shared" si="124"/>
        <v>0</v>
      </c>
      <c r="L1771" s="183">
        <f t="shared" si="125"/>
        <v>2351300</v>
      </c>
    </row>
    <row r="1772" spans="1:12" ht="15" hidden="1">
      <c r="A1772" s="177"/>
      <c r="B1772" s="209" t="s">
        <v>318</v>
      </c>
      <c r="F1772" s="225">
        <f>SUM(F1773:F1776)</f>
        <v>1091800</v>
      </c>
      <c r="J1772" s="323">
        <f t="shared" si="124"/>
        <v>0</v>
      </c>
      <c r="L1772" s="184">
        <f t="shared" si="125"/>
        <v>1091800</v>
      </c>
    </row>
    <row r="1773" spans="1:12" ht="29.25" customHeight="1" hidden="1">
      <c r="A1773" s="177" t="s">
        <v>15</v>
      </c>
      <c r="B1773" s="97" t="s">
        <v>319</v>
      </c>
      <c r="E1773" s="330" t="s">
        <v>74</v>
      </c>
      <c r="F1773" s="125">
        <v>176600</v>
      </c>
      <c r="G1773" s="378" t="s">
        <v>633</v>
      </c>
      <c r="J1773" s="323">
        <f t="shared" si="124"/>
        <v>0</v>
      </c>
      <c r="L1773" s="183">
        <f t="shared" si="125"/>
        <v>176600</v>
      </c>
    </row>
    <row r="1774" spans="1:12" ht="29.25" customHeight="1" hidden="1">
      <c r="A1774" s="177" t="s">
        <v>16</v>
      </c>
      <c r="B1774" s="97" t="s">
        <v>570</v>
      </c>
      <c r="E1774" s="330" t="s">
        <v>74</v>
      </c>
      <c r="F1774" s="125">
        <v>267600</v>
      </c>
      <c r="G1774" s="379"/>
      <c r="J1774" s="323">
        <f t="shared" si="124"/>
        <v>0</v>
      </c>
      <c r="L1774" s="183">
        <f t="shared" si="125"/>
        <v>267600</v>
      </c>
    </row>
    <row r="1775" spans="1:12" ht="29.25" customHeight="1" hidden="1">
      <c r="A1775" s="177" t="s">
        <v>88</v>
      </c>
      <c r="B1775" s="97" t="s">
        <v>571</v>
      </c>
      <c r="E1775" s="330" t="s">
        <v>74</v>
      </c>
      <c r="F1775" s="125">
        <v>543100</v>
      </c>
      <c r="G1775" s="379"/>
      <c r="J1775" s="323">
        <f t="shared" si="124"/>
        <v>0</v>
      </c>
      <c r="L1775" s="183">
        <f t="shared" si="125"/>
        <v>543100</v>
      </c>
    </row>
    <row r="1776" spans="1:12" ht="29.25" customHeight="1" hidden="1">
      <c r="A1776" s="177" t="s">
        <v>339</v>
      </c>
      <c r="B1776" s="97" t="s">
        <v>572</v>
      </c>
      <c r="E1776" s="330" t="s">
        <v>74</v>
      </c>
      <c r="F1776" s="125">
        <v>104500</v>
      </c>
      <c r="G1776" s="380"/>
      <c r="J1776" s="323">
        <f t="shared" si="124"/>
        <v>0</v>
      </c>
      <c r="L1776" s="183">
        <f t="shared" si="125"/>
        <v>104500</v>
      </c>
    </row>
    <row r="1777" spans="1:12" ht="15" hidden="1">
      <c r="A1777" s="177"/>
      <c r="B1777" s="209" t="s">
        <v>320</v>
      </c>
      <c r="F1777" s="225">
        <f>SUM(F1778:F1780)</f>
        <v>5091300</v>
      </c>
      <c r="J1777" s="323">
        <f t="shared" si="124"/>
        <v>0</v>
      </c>
      <c r="L1777" s="184">
        <f t="shared" si="125"/>
        <v>5091300</v>
      </c>
    </row>
    <row r="1778" spans="1:12" ht="29.25" customHeight="1" hidden="1">
      <c r="A1778" s="177" t="s">
        <v>340</v>
      </c>
      <c r="B1778" s="97" t="s">
        <v>321</v>
      </c>
      <c r="E1778" s="330" t="s">
        <v>74</v>
      </c>
      <c r="F1778" s="125">
        <v>1742000</v>
      </c>
      <c r="G1778" s="378" t="s">
        <v>628</v>
      </c>
      <c r="J1778" s="323">
        <f t="shared" si="124"/>
        <v>0</v>
      </c>
      <c r="L1778" s="183">
        <f t="shared" si="125"/>
        <v>1742000</v>
      </c>
    </row>
    <row r="1779" spans="1:12" ht="29.25" customHeight="1" hidden="1">
      <c r="A1779" s="177" t="s">
        <v>341</v>
      </c>
      <c r="B1779" s="97" t="s">
        <v>322</v>
      </c>
      <c r="E1779" s="330" t="s">
        <v>74</v>
      </c>
      <c r="F1779" s="125">
        <v>1052400</v>
      </c>
      <c r="G1779" s="379"/>
      <c r="J1779" s="323">
        <f t="shared" si="124"/>
        <v>0</v>
      </c>
      <c r="L1779" s="183">
        <f t="shared" si="125"/>
        <v>1052400</v>
      </c>
    </row>
    <row r="1780" spans="1:12" ht="30" hidden="1">
      <c r="A1780" s="177" t="s">
        <v>342</v>
      </c>
      <c r="B1780" s="97" t="s">
        <v>323</v>
      </c>
      <c r="E1780" s="330" t="s">
        <v>74</v>
      </c>
      <c r="F1780" s="125">
        <v>2296900</v>
      </c>
      <c r="G1780" s="380"/>
      <c r="J1780" s="323">
        <f t="shared" si="124"/>
        <v>0</v>
      </c>
      <c r="L1780" s="183">
        <f t="shared" si="125"/>
        <v>2296900</v>
      </c>
    </row>
    <row r="1781" spans="1:12" ht="15" hidden="1">
      <c r="A1781" s="177"/>
      <c r="B1781" s="209" t="s">
        <v>324</v>
      </c>
      <c r="F1781" s="225">
        <f>SUM(F1782:F1783)</f>
        <v>773100</v>
      </c>
      <c r="J1781" s="323">
        <f t="shared" si="124"/>
        <v>0</v>
      </c>
      <c r="L1781" s="184">
        <f t="shared" si="125"/>
        <v>773100</v>
      </c>
    </row>
    <row r="1782" spans="1:12" ht="29.25" customHeight="1" hidden="1">
      <c r="A1782" s="177" t="s">
        <v>343</v>
      </c>
      <c r="B1782" s="97" t="s">
        <v>325</v>
      </c>
      <c r="E1782" s="330" t="s">
        <v>74</v>
      </c>
      <c r="F1782" s="125">
        <v>616300</v>
      </c>
      <c r="G1782" s="378" t="s">
        <v>627</v>
      </c>
      <c r="J1782" s="323">
        <f t="shared" si="124"/>
        <v>0</v>
      </c>
      <c r="L1782" s="183">
        <f t="shared" si="125"/>
        <v>616300</v>
      </c>
    </row>
    <row r="1783" spans="1:12" ht="29.25" customHeight="1" hidden="1">
      <c r="A1783" s="177" t="s">
        <v>344</v>
      </c>
      <c r="B1783" s="97" t="s">
        <v>326</v>
      </c>
      <c r="E1783" s="330" t="s">
        <v>74</v>
      </c>
      <c r="F1783" s="125">
        <v>156800</v>
      </c>
      <c r="G1783" s="380"/>
      <c r="J1783" s="323">
        <f t="shared" si="124"/>
        <v>0</v>
      </c>
      <c r="L1783" s="183">
        <f t="shared" si="125"/>
        <v>156800</v>
      </c>
    </row>
    <row r="1784" spans="1:12" ht="15" hidden="1">
      <c r="A1784" s="177"/>
      <c r="B1784" s="209" t="s">
        <v>327</v>
      </c>
      <c r="F1784" s="225">
        <f>SUM(F1785:F1787)</f>
        <v>7406800</v>
      </c>
      <c r="J1784" s="323">
        <f t="shared" si="124"/>
        <v>0</v>
      </c>
      <c r="L1784" s="184">
        <f t="shared" si="125"/>
        <v>7406800</v>
      </c>
    </row>
    <row r="1785" spans="1:12" ht="29.25" customHeight="1" hidden="1">
      <c r="A1785" s="177" t="s">
        <v>345</v>
      </c>
      <c r="B1785" s="97" t="s">
        <v>328</v>
      </c>
      <c r="E1785" s="330" t="s">
        <v>74</v>
      </c>
      <c r="F1785" s="125">
        <v>5164700</v>
      </c>
      <c r="G1785" s="378" t="s">
        <v>631</v>
      </c>
      <c r="J1785" s="323">
        <f t="shared" si="124"/>
        <v>0</v>
      </c>
      <c r="L1785" s="183">
        <f t="shared" si="125"/>
        <v>5164700</v>
      </c>
    </row>
    <row r="1786" spans="1:12" ht="30" hidden="1">
      <c r="A1786" s="177" t="s">
        <v>346</v>
      </c>
      <c r="B1786" s="97" t="s">
        <v>329</v>
      </c>
      <c r="E1786" s="330" t="s">
        <v>74</v>
      </c>
      <c r="F1786" s="125">
        <v>210600</v>
      </c>
      <c r="G1786" s="379"/>
      <c r="J1786" s="323">
        <f t="shared" si="124"/>
        <v>0</v>
      </c>
      <c r="L1786" s="183">
        <f t="shared" si="125"/>
        <v>210600</v>
      </c>
    </row>
    <row r="1787" spans="1:12" ht="30" hidden="1">
      <c r="A1787" s="177" t="s">
        <v>577</v>
      </c>
      <c r="B1787" s="97" t="s">
        <v>330</v>
      </c>
      <c r="E1787" s="330" t="s">
        <v>74</v>
      </c>
      <c r="F1787" s="125">
        <v>2031500</v>
      </c>
      <c r="G1787" s="380"/>
      <c r="J1787" s="323">
        <f t="shared" si="124"/>
        <v>0</v>
      </c>
      <c r="L1787" s="183">
        <f t="shared" si="125"/>
        <v>2031500</v>
      </c>
    </row>
    <row r="1788" spans="1:12" ht="15" hidden="1">
      <c r="A1788" s="177"/>
      <c r="B1788" s="209" t="s">
        <v>331</v>
      </c>
      <c r="F1788" s="225">
        <f>SUM(F1789:F1790)</f>
        <v>4336700</v>
      </c>
      <c r="J1788" s="323">
        <f t="shared" si="124"/>
        <v>0</v>
      </c>
      <c r="L1788" s="184">
        <f t="shared" si="125"/>
        <v>4336700</v>
      </c>
    </row>
    <row r="1789" spans="1:12" ht="29.25" customHeight="1" hidden="1">
      <c r="A1789" s="177" t="s">
        <v>578</v>
      </c>
      <c r="B1789" s="97" t="s">
        <v>332</v>
      </c>
      <c r="E1789" s="330" t="s">
        <v>74</v>
      </c>
      <c r="F1789" s="125">
        <v>2897700</v>
      </c>
      <c r="G1789" s="378" t="s">
        <v>630</v>
      </c>
      <c r="J1789" s="323">
        <f t="shared" si="124"/>
        <v>0</v>
      </c>
      <c r="L1789" s="183">
        <f t="shared" si="125"/>
        <v>2897700</v>
      </c>
    </row>
    <row r="1790" spans="1:12" ht="29.25" customHeight="1" hidden="1">
      <c r="A1790" s="177" t="s">
        <v>579</v>
      </c>
      <c r="B1790" s="97" t="s">
        <v>333</v>
      </c>
      <c r="E1790" s="330" t="s">
        <v>74</v>
      </c>
      <c r="F1790" s="125">
        <v>1439000</v>
      </c>
      <c r="G1790" s="380"/>
      <c r="J1790" s="323">
        <f t="shared" si="124"/>
        <v>0</v>
      </c>
      <c r="L1790" s="183">
        <f t="shared" si="125"/>
        <v>1439000</v>
      </c>
    </row>
    <row r="1791" spans="1:12" s="138" customFormat="1" ht="29.25" customHeight="1" hidden="1">
      <c r="A1791" s="204"/>
      <c r="B1791" s="209" t="s">
        <v>573</v>
      </c>
      <c r="C1791" s="329"/>
      <c r="D1791" s="127"/>
      <c r="E1791" s="127"/>
      <c r="F1791" s="257">
        <f>SUM(F1792)</f>
        <v>12783900</v>
      </c>
      <c r="G1791" s="348"/>
      <c r="H1791" s="82"/>
      <c r="I1791" s="333"/>
      <c r="J1791" s="333"/>
      <c r="K1791" s="333"/>
      <c r="L1791" s="184"/>
    </row>
    <row r="1792" spans="1:12" ht="29.25" customHeight="1" hidden="1">
      <c r="A1792" s="177" t="s">
        <v>580</v>
      </c>
      <c r="B1792" s="97" t="s">
        <v>574</v>
      </c>
      <c r="E1792" s="330" t="s">
        <v>74</v>
      </c>
      <c r="F1792" s="125">
        <v>12783900</v>
      </c>
      <c r="L1792" s="183"/>
    </row>
    <row r="1793" spans="1:12" s="138" customFormat="1" ht="29.25" customHeight="1" hidden="1">
      <c r="A1793" s="204"/>
      <c r="B1793" s="101" t="s">
        <v>575</v>
      </c>
      <c r="C1793" s="329"/>
      <c r="D1793" s="127"/>
      <c r="E1793" s="127"/>
      <c r="F1793" s="257">
        <f>SUM(F1794)</f>
        <v>1675800</v>
      </c>
      <c r="G1793" s="348"/>
      <c r="H1793" s="82"/>
      <c r="I1793" s="333"/>
      <c r="J1793" s="333"/>
      <c r="K1793" s="333"/>
      <c r="L1793" s="184"/>
    </row>
    <row r="1794" spans="1:12" ht="29.25" customHeight="1" hidden="1">
      <c r="A1794" s="177" t="s">
        <v>581</v>
      </c>
      <c r="B1794" s="97" t="s">
        <v>576</v>
      </c>
      <c r="E1794" s="330" t="s">
        <v>74</v>
      </c>
      <c r="F1794" s="125">
        <v>1675800</v>
      </c>
      <c r="L1794" s="183"/>
    </row>
    <row r="1795" spans="1:12" ht="15" hidden="1">
      <c r="A1795" s="177"/>
      <c r="B1795" s="209" t="s">
        <v>334</v>
      </c>
      <c r="F1795" s="225">
        <f>SUM(F1796:F1797)</f>
        <v>8480500</v>
      </c>
      <c r="J1795" s="323">
        <f>I1795/F1795*100</f>
        <v>0</v>
      </c>
      <c r="L1795" s="184">
        <f>F1795-K1795</f>
        <v>8480500</v>
      </c>
    </row>
    <row r="1796" spans="1:12" ht="29.25" customHeight="1" hidden="1">
      <c r="A1796" s="177" t="s">
        <v>582</v>
      </c>
      <c r="B1796" s="97" t="s">
        <v>335</v>
      </c>
      <c r="E1796" s="330" t="s">
        <v>74</v>
      </c>
      <c r="F1796" s="125">
        <v>3775900</v>
      </c>
      <c r="G1796" s="378" t="s">
        <v>629</v>
      </c>
      <c r="J1796" s="323">
        <f>I1796/F1796*100</f>
        <v>0</v>
      </c>
      <c r="L1796" s="183">
        <f>F1796-K1796</f>
        <v>3775900</v>
      </c>
    </row>
    <row r="1797" spans="1:12" ht="30" customHeight="1" hidden="1">
      <c r="A1797" s="177" t="s">
        <v>583</v>
      </c>
      <c r="B1797" s="97" t="s">
        <v>336</v>
      </c>
      <c r="E1797" s="330" t="s">
        <v>74</v>
      </c>
      <c r="F1797" s="125">
        <v>4704600</v>
      </c>
      <c r="G1797" s="380"/>
      <c r="J1797" s="323">
        <f>I1797/F1797*100</f>
        <v>0</v>
      </c>
      <c r="L1797" s="183">
        <f>F1797-K1797</f>
        <v>4704600</v>
      </c>
    </row>
    <row r="1798" spans="1:12" s="138" customFormat="1" ht="15" hidden="1">
      <c r="A1798" s="208"/>
      <c r="B1798" s="155" t="s">
        <v>586</v>
      </c>
      <c r="C1798" s="329"/>
      <c r="D1798" s="127"/>
      <c r="E1798" s="127"/>
      <c r="F1798" s="281">
        <f>F1764+F1766+F1768+F1772+F1777+F1781+F1784+F1788+F1791+F1793+F1795</f>
        <v>45814500</v>
      </c>
      <c r="G1798" s="348"/>
      <c r="H1798" s="82"/>
      <c r="I1798" s="333"/>
      <c r="J1798" s="333"/>
      <c r="K1798" s="333"/>
      <c r="L1798" s="127"/>
    </row>
    <row r="1799" ht="15" hidden="1">
      <c r="B1799" s="348" t="s">
        <v>585</v>
      </c>
    </row>
    <row r="1800" ht="15" hidden="1"/>
    <row r="1801" spans="1:13" ht="15" hidden="1">
      <c r="A1801" s="532" t="s">
        <v>584</v>
      </c>
      <c r="B1801" s="532"/>
      <c r="C1801" s="533"/>
      <c r="D1801" s="534"/>
      <c r="E1801" s="81" t="s">
        <v>34</v>
      </c>
      <c r="F1801" s="74">
        <f>SUM(F1802:F1804)</f>
        <v>7367396231.54</v>
      </c>
      <c r="H1801" s="384"/>
      <c r="I1801" s="333">
        <f>SUM(I1802:I1804)</f>
        <v>0</v>
      </c>
      <c r="J1801" s="502">
        <f>I1801/F1801*100</f>
        <v>0</v>
      </c>
      <c r="K1801" s="333">
        <f>SUM(K1802:K1804)</f>
        <v>0</v>
      </c>
      <c r="L1801" s="333">
        <f>F1801-K1801</f>
        <v>7367396231.54</v>
      </c>
      <c r="M1801" s="330"/>
    </row>
    <row r="1802" spans="1:15" ht="15" hidden="1">
      <c r="A1802" s="532"/>
      <c r="B1802" s="532"/>
      <c r="C1802" s="533"/>
      <c r="D1802" s="534"/>
      <c r="E1802" s="145" t="s">
        <v>74</v>
      </c>
      <c r="F1802" s="205">
        <f>F1755+F1761</f>
        <v>1509830400</v>
      </c>
      <c r="H1802" s="384"/>
      <c r="I1802" s="205">
        <f>SUM(I1792,I1613)</f>
        <v>0</v>
      </c>
      <c r="J1802" s="503"/>
      <c r="K1802" s="205">
        <f>SUM(K1792,K1613)</f>
        <v>0</v>
      </c>
      <c r="L1802" s="333">
        <f>F1802-K1802</f>
        <v>1509830400</v>
      </c>
      <c r="M1802" s="330"/>
      <c r="O1802" s="326"/>
    </row>
    <row r="1803" spans="1:13" ht="15" hidden="1">
      <c r="A1803" s="532"/>
      <c r="B1803" s="532"/>
      <c r="C1803" s="533"/>
      <c r="D1803" s="534"/>
      <c r="E1803" s="145" t="s">
        <v>75</v>
      </c>
      <c r="F1803" s="205">
        <f>F1756</f>
        <v>5789994753.33</v>
      </c>
      <c r="H1803" s="384"/>
      <c r="I1803" s="205">
        <f>SUM(I1614)</f>
        <v>0</v>
      </c>
      <c r="J1803" s="503"/>
      <c r="K1803" s="205">
        <f>SUM(K1614)</f>
        <v>0</v>
      </c>
      <c r="L1803" s="333">
        <f>F1803-K1803</f>
        <v>5789994753.33</v>
      </c>
      <c r="M1803" s="330"/>
    </row>
    <row r="1804" spans="1:13" ht="15" hidden="1">
      <c r="A1804" s="532"/>
      <c r="B1804" s="532"/>
      <c r="C1804" s="533"/>
      <c r="D1804" s="534"/>
      <c r="E1804" s="206" t="s">
        <v>18</v>
      </c>
      <c r="F1804" s="205">
        <f>F1757</f>
        <v>67571078.21000001</v>
      </c>
      <c r="H1804" s="384"/>
      <c r="I1804" s="207">
        <f>SUM(I1615)</f>
        <v>0</v>
      </c>
      <c r="J1804" s="504"/>
      <c r="K1804" s="207">
        <f>SUM(K1615)</f>
        <v>0</v>
      </c>
      <c r="L1804" s="333">
        <f>F1804-K1804</f>
        <v>67571078.21000001</v>
      </c>
      <c r="M1804" s="330"/>
    </row>
  </sheetData>
  <sheetProtection/>
  <mergeCells count="1965">
    <mergeCell ref="A1:L1"/>
    <mergeCell ref="A2:L2"/>
    <mergeCell ref="A4:A5"/>
    <mergeCell ref="B4:B5"/>
    <mergeCell ref="C4:D4"/>
    <mergeCell ref="E4:E5"/>
    <mergeCell ref="F4:F5"/>
    <mergeCell ref="G4:G5"/>
    <mergeCell ref="H4:H5"/>
    <mergeCell ref="I4:I5"/>
    <mergeCell ref="K4:K5"/>
    <mergeCell ref="L4:L5"/>
    <mergeCell ref="A982:K982"/>
    <mergeCell ref="A983:A985"/>
    <mergeCell ref="B983:B985"/>
    <mergeCell ref="C983:C985"/>
    <mergeCell ref="D983:D985"/>
    <mergeCell ref="A29:A31"/>
    <mergeCell ref="A32:A34"/>
    <mergeCell ref="A429:B431"/>
    <mergeCell ref="E986:E992"/>
    <mergeCell ref="F986:F992"/>
    <mergeCell ref="G986:G992"/>
    <mergeCell ref="J4:J5"/>
    <mergeCell ref="I986:I992"/>
    <mergeCell ref="J986:J992"/>
    <mergeCell ref="E330:E332"/>
    <mergeCell ref="A847:F847"/>
    <mergeCell ref="K986:K992"/>
    <mergeCell ref="L986:L992"/>
    <mergeCell ref="A1010:A1012"/>
    <mergeCell ref="B1010:B1012"/>
    <mergeCell ref="C1010:C1012"/>
    <mergeCell ref="D1010:D1012"/>
    <mergeCell ref="G1010:G1012"/>
    <mergeCell ref="A986:A992"/>
    <mergeCell ref="C986:C992"/>
    <mergeCell ref="D986:D992"/>
    <mergeCell ref="A1017:A1019"/>
    <mergeCell ref="B1017:B1019"/>
    <mergeCell ref="C1017:C1019"/>
    <mergeCell ref="D1017:D1019"/>
    <mergeCell ref="G1017:G1019"/>
    <mergeCell ref="G1033:G1035"/>
    <mergeCell ref="A1037:A1039"/>
    <mergeCell ref="A1040:A1042"/>
    <mergeCell ref="A1043:A1045"/>
    <mergeCell ref="A1046:A1048"/>
    <mergeCell ref="A1049:A1051"/>
    <mergeCell ref="A1052:A1054"/>
    <mergeCell ref="A1055:A1057"/>
    <mergeCell ref="A1058:A1060"/>
    <mergeCell ref="A1061:A1063"/>
    <mergeCell ref="A1064:A1066"/>
    <mergeCell ref="A1067:A1069"/>
    <mergeCell ref="A1070:A1072"/>
    <mergeCell ref="A1073:A1076"/>
    <mergeCell ref="A1077:A1079"/>
    <mergeCell ref="A1093:A1096"/>
    <mergeCell ref="B1093:B1096"/>
    <mergeCell ref="C1093:C1096"/>
    <mergeCell ref="D1093:D1096"/>
    <mergeCell ref="G1093:G1096"/>
    <mergeCell ref="A1097:A1099"/>
    <mergeCell ref="B1097:B1099"/>
    <mergeCell ref="C1097:C1099"/>
    <mergeCell ref="A1100:A1102"/>
    <mergeCell ref="A1103:A1105"/>
    <mergeCell ref="A1106:A1108"/>
    <mergeCell ref="A1109:A1111"/>
    <mergeCell ref="B1109:B1111"/>
    <mergeCell ref="C1109:C1111"/>
    <mergeCell ref="D1109:D1111"/>
    <mergeCell ref="H1109:H1111"/>
    <mergeCell ref="A1112:A1114"/>
    <mergeCell ref="B1112:B1114"/>
    <mergeCell ref="C1112:C1114"/>
    <mergeCell ref="D1112:D1114"/>
    <mergeCell ref="G1112:G1114"/>
    <mergeCell ref="H1112:H1114"/>
    <mergeCell ref="A1115:A1117"/>
    <mergeCell ref="B1115:B1117"/>
    <mergeCell ref="C1115:C1117"/>
    <mergeCell ref="D1115:D1117"/>
    <mergeCell ref="G1115:G1117"/>
    <mergeCell ref="H1115:H1117"/>
    <mergeCell ref="J1115:J1117"/>
    <mergeCell ref="A1118:A1120"/>
    <mergeCell ref="B1118:B1120"/>
    <mergeCell ref="C1118:C1120"/>
    <mergeCell ref="D1118:D1120"/>
    <mergeCell ref="G1118:G1120"/>
    <mergeCell ref="H1118:H1123"/>
    <mergeCell ref="J1118:J1120"/>
    <mergeCell ref="A1121:A1123"/>
    <mergeCell ref="B1121:B1123"/>
    <mergeCell ref="C1121:C1123"/>
    <mergeCell ref="D1121:D1123"/>
    <mergeCell ref="G1121:G1123"/>
    <mergeCell ref="J1121:J1123"/>
    <mergeCell ref="A1124:A1126"/>
    <mergeCell ref="B1124:B1126"/>
    <mergeCell ref="C1124:C1126"/>
    <mergeCell ref="D1124:D1126"/>
    <mergeCell ref="G1124:G1126"/>
    <mergeCell ref="H1124:H1126"/>
    <mergeCell ref="A1127:A1129"/>
    <mergeCell ref="B1127:B1129"/>
    <mergeCell ref="C1127:C1129"/>
    <mergeCell ref="D1127:D1129"/>
    <mergeCell ref="G1127:G1129"/>
    <mergeCell ref="H1127:H1129"/>
    <mergeCell ref="A1130:A1132"/>
    <mergeCell ref="B1130:B1132"/>
    <mergeCell ref="C1130:C1132"/>
    <mergeCell ref="D1130:D1132"/>
    <mergeCell ref="G1130:G1132"/>
    <mergeCell ref="H1130:H1132"/>
    <mergeCell ref="A1133:A1135"/>
    <mergeCell ref="B1133:B1135"/>
    <mergeCell ref="C1133:C1135"/>
    <mergeCell ref="D1133:D1135"/>
    <mergeCell ref="G1133:G1135"/>
    <mergeCell ref="H1133:H1135"/>
    <mergeCell ref="A1137:A1138"/>
    <mergeCell ref="B1137:B1138"/>
    <mergeCell ref="C1137:C1138"/>
    <mergeCell ref="D1137:D1138"/>
    <mergeCell ref="G1137:G1138"/>
    <mergeCell ref="A1157:A1159"/>
    <mergeCell ref="B1157:B1159"/>
    <mergeCell ref="C1157:C1159"/>
    <mergeCell ref="D1157:D1159"/>
    <mergeCell ref="G1157:G1159"/>
    <mergeCell ref="H1157:H1159"/>
    <mergeCell ref="J1157:J1159"/>
    <mergeCell ref="A1160:A1162"/>
    <mergeCell ref="B1160:B1162"/>
    <mergeCell ref="C1160:C1162"/>
    <mergeCell ref="D1160:D1162"/>
    <mergeCell ref="G1160:G1162"/>
    <mergeCell ref="H1160:H1166"/>
    <mergeCell ref="A1163:A1165"/>
    <mergeCell ref="B1163:B1165"/>
    <mergeCell ref="C1163:C1165"/>
    <mergeCell ref="D1163:D1165"/>
    <mergeCell ref="G1163:G1168"/>
    <mergeCell ref="J1163:J1165"/>
    <mergeCell ref="A1166:A1168"/>
    <mergeCell ref="B1166:B1168"/>
    <mergeCell ref="C1166:C1168"/>
    <mergeCell ref="D1166:D1168"/>
    <mergeCell ref="J1166:J1168"/>
    <mergeCell ref="A1169:A1172"/>
    <mergeCell ref="B1169:B1172"/>
    <mergeCell ref="C1169:C1172"/>
    <mergeCell ref="D1169:D1172"/>
    <mergeCell ref="G1169:G1172"/>
    <mergeCell ref="J1169:J1172"/>
    <mergeCell ref="A1173:A1175"/>
    <mergeCell ref="B1173:B1175"/>
    <mergeCell ref="C1173:C1175"/>
    <mergeCell ref="D1173:D1175"/>
    <mergeCell ref="G1173:G1175"/>
    <mergeCell ref="J1173:J1175"/>
    <mergeCell ref="A1176:A1178"/>
    <mergeCell ref="B1176:B1178"/>
    <mergeCell ref="C1176:C1178"/>
    <mergeCell ref="D1176:D1178"/>
    <mergeCell ref="G1176:G1178"/>
    <mergeCell ref="A1179:A1181"/>
    <mergeCell ref="B1179:B1181"/>
    <mergeCell ref="C1179:C1181"/>
    <mergeCell ref="D1179:D1181"/>
    <mergeCell ref="G1179:G1181"/>
    <mergeCell ref="A1182:A1184"/>
    <mergeCell ref="B1182:B1184"/>
    <mergeCell ref="C1182:C1184"/>
    <mergeCell ref="D1182:D1184"/>
    <mergeCell ref="G1182:G1184"/>
    <mergeCell ref="J1182:J1184"/>
    <mergeCell ref="A1185:A1187"/>
    <mergeCell ref="B1185:B1187"/>
    <mergeCell ref="C1185:C1187"/>
    <mergeCell ref="D1185:D1187"/>
    <mergeCell ref="G1185:G1187"/>
    <mergeCell ref="J1185:J1187"/>
    <mergeCell ref="A1188:A1190"/>
    <mergeCell ref="B1188:B1190"/>
    <mergeCell ref="C1188:C1190"/>
    <mergeCell ref="D1188:D1190"/>
    <mergeCell ref="G1188:G1190"/>
    <mergeCell ref="A1191:A1193"/>
    <mergeCell ref="B1191:B1193"/>
    <mergeCell ref="C1191:C1193"/>
    <mergeCell ref="D1191:D1193"/>
    <mergeCell ref="G1191:G1193"/>
    <mergeCell ref="J1191:J1193"/>
    <mergeCell ref="A1194:A1196"/>
    <mergeCell ref="B1194:B1196"/>
    <mergeCell ref="C1194:C1196"/>
    <mergeCell ref="D1194:D1196"/>
    <mergeCell ref="G1194:G1196"/>
    <mergeCell ref="J1194:J1196"/>
    <mergeCell ref="A1197:A1199"/>
    <mergeCell ref="B1197:B1199"/>
    <mergeCell ref="A1200:A1202"/>
    <mergeCell ref="B1200:B1202"/>
    <mergeCell ref="C1200:C1202"/>
    <mergeCell ref="D1200:D1202"/>
    <mergeCell ref="G1200:G1202"/>
    <mergeCell ref="A1203:A1205"/>
    <mergeCell ref="B1203:B1205"/>
    <mergeCell ref="C1203:C1205"/>
    <mergeCell ref="D1203:D1205"/>
    <mergeCell ref="G1203:G1205"/>
    <mergeCell ref="J1203:J1205"/>
    <mergeCell ref="A1206:A1208"/>
    <mergeCell ref="B1206:B1208"/>
    <mergeCell ref="C1206:C1208"/>
    <mergeCell ref="D1206:D1208"/>
    <mergeCell ref="G1206:G1208"/>
    <mergeCell ref="H1206:H1210"/>
    <mergeCell ref="J1206:J1208"/>
    <mergeCell ref="A1209:A1211"/>
    <mergeCell ref="B1209:B1211"/>
    <mergeCell ref="C1209:C1211"/>
    <mergeCell ref="D1209:D1211"/>
    <mergeCell ref="G1209:G1211"/>
    <mergeCell ref="J1209:J1211"/>
    <mergeCell ref="A1212:A1214"/>
    <mergeCell ref="B1212:B1214"/>
    <mergeCell ref="C1212:C1214"/>
    <mergeCell ref="D1212:D1214"/>
    <mergeCell ref="G1212:G1214"/>
    <mergeCell ref="J1212:J1214"/>
    <mergeCell ref="A1215:A1217"/>
    <mergeCell ref="B1215:B1217"/>
    <mergeCell ref="C1215:C1217"/>
    <mergeCell ref="D1215:D1217"/>
    <mergeCell ref="G1215:G1217"/>
    <mergeCell ref="J1215:J1217"/>
    <mergeCell ref="A1218:A1220"/>
    <mergeCell ref="B1218:B1220"/>
    <mergeCell ref="C1218:C1220"/>
    <mergeCell ref="D1218:D1220"/>
    <mergeCell ref="G1218:G1220"/>
    <mergeCell ref="J1218:J1220"/>
    <mergeCell ref="A1221:A1223"/>
    <mergeCell ref="B1221:B1223"/>
    <mergeCell ref="C1221:C1223"/>
    <mergeCell ref="D1221:D1223"/>
    <mergeCell ref="G1221:G1223"/>
    <mergeCell ref="J1221:J1223"/>
    <mergeCell ref="A1224:A1226"/>
    <mergeCell ref="B1224:B1226"/>
    <mergeCell ref="C1224:C1226"/>
    <mergeCell ref="D1224:D1226"/>
    <mergeCell ref="G1224:G1226"/>
    <mergeCell ref="J1224:J1226"/>
    <mergeCell ref="A1227:A1229"/>
    <mergeCell ref="B1227:B1229"/>
    <mergeCell ref="C1227:C1229"/>
    <mergeCell ref="D1227:D1229"/>
    <mergeCell ref="G1227:G1229"/>
    <mergeCell ref="J1227:J1229"/>
    <mergeCell ref="A1230:A1232"/>
    <mergeCell ref="B1230:B1232"/>
    <mergeCell ref="C1230:C1232"/>
    <mergeCell ref="D1230:D1232"/>
    <mergeCell ref="G1230:G1232"/>
    <mergeCell ref="J1230:J1232"/>
    <mergeCell ref="A1233:A1235"/>
    <mergeCell ref="B1233:B1235"/>
    <mergeCell ref="C1233:C1235"/>
    <mergeCell ref="D1233:D1235"/>
    <mergeCell ref="G1233:G1235"/>
    <mergeCell ref="J1233:J1235"/>
    <mergeCell ref="J1239:J1241"/>
    <mergeCell ref="A1236:A1238"/>
    <mergeCell ref="B1236:B1238"/>
    <mergeCell ref="C1236:C1238"/>
    <mergeCell ref="D1236:D1238"/>
    <mergeCell ref="G1236:G1238"/>
    <mergeCell ref="J1236:J1238"/>
    <mergeCell ref="C1243:C1245"/>
    <mergeCell ref="D1243:D1245"/>
    <mergeCell ref="G1243:G1245"/>
    <mergeCell ref="H1243:H1245"/>
    <mergeCell ref="A1239:A1241"/>
    <mergeCell ref="B1239:B1241"/>
    <mergeCell ref="C1239:C1241"/>
    <mergeCell ref="D1239:D1241"/>
    <mergeCell ref="G1239:G1241"/>
    <mergeCell ref="J1243:J1245"/>
    <mergeCell ref="A1246:A1248"/>
    <mergeCell ref="B1246:B1248"/>
    <mergeCell ref="C1246:C1248"/>
    <mergeCell ref="D1246:D1248"/>
    <mergeCell ref="G1246:G1248"/>
    <mergeCell ref="H1246:H1248"/>
    <mergeCell ref="J1246:J1248"/>
    <mergeCell ref="A1243:A1245"/>
    <mergeCell ref="B1243:B1245"/>
    <mergeCell ref="A1249:A1251"/>
    <mergeCell ref="B1249:B1251"/>
    <mergeCell ref="C1249:C1251"/>
    <mergeCell ref="D1249:D1251"/>
    <mergeCell ref="G1249:G1251"/>
    <mergeCell ref="H1249:H1251"/>
    <mergeCell ref="A1252:A1254"/>
    <mergeCell ref="B1252:B1254"/>
    <mergeCell ref="C1252:C1254"/>
    <mergeCell ref="D1252:D1254"/>
    <mergeCell ref="G1252:G1254"/>
    <mergeCell ref="H1252:H1254"/>
    <mergeCell ref="B1255:B1257"/>
    <mergeCell ref="C1255:C1257"/>
    <mergeCell ref="D1255:D1257"/>
    <mergeCell ref="G1255:G1257"/>
    <mergeCell ref="H1255:H1257"/>
    <mergeCell ref="J1249:J1251"/>
    <mergeCell ref="J1252:J1254"/>
    <mergeCell ref="J1261:J1263"/>
    <mergeCell ref="J1255:J1257"/>
    <mergeCell ref="A1258:A1260"/>
    <mergeCell ref="B1258:B1260"/>
    <mergeCell ref="C1258:C1260"/>
    <mergeCell ref="D1258:D1260"/>
    <mergeCell ref="G1258:G1260"/>
    <mergeCell ref="H1258:H1260"/>
    <mergeCell ref="J1258:J1260"/>
    <mergeCell ref="A1255:A1257"/>
    <mergeCell ref="G1264:G1266"/>
    <mergeCell ref="H1264:H1266"/>
    <mergeCell ref="A1261:A1263"/>
    <mergeCell ref="B1261:B1263"/>
    <mergeCell ref="C1261:C1263"/>
    <mergeCell ref="G1261:G1263"/>
    <mergeCell ref="H1261:H1263"/>
    <mergeCell ref="J1264:J1266"/>
    <mergeCell ref="A1269:A1272"/>
    <mergeCell ref="B1269:B1272"/>
    <mergeCell ref="C1269:C1272"/>
    <mergeCell ref="D1269:D1272"/>
    <mergeCell ref="J1269:J1272"/>
    <mergeCell ref="A1264:A1266"/>
    <mergeCell ref="B1264:B1266"/>
    <mergeCell ref="C1264:C1266"/>
    <mergeCell ref="D1264:D1266"/>
    <mergeCell ref="A1275:K1275"/>
    <mergeCell ref="A1276:A1279"/>
    <mergeCell ref="B1276:B1279"/>
    <mergeCell ref="C1276:C1279"/>
    <mergeCell ref="D1276:D1279"/>
    <mergeCell ref="G1276:G1279"/>
    <mergeCell ref="A1280:A1282"/>
    <mergeCell ref="B1280:B1282"/>
    <mergeCell ref="C1280:C1282"/>
    <mergeCell ref="D1280:D1282"/>
    <mergeCell ref="G1280:G1282"/>
    <mergeCell ref="A1283:A1286"/>
    <mergeCell ref="G1283:G1286"/>
    <mergeCell ref="A1287:A1290"/>
    <mergeCell ref="G1287:G1290"/>
    <mergeCell ref="A1291:A1295"/>
    <mergeCell ref="G1291:G1295"/>
    <mergeCell ref="A1296:A1299"/>
    <mergeCell ref="G1296:G1299"/>
    <mergeCell ref="A1300:A1303"/>
    <mergeCell ref="G1300:G1303"/>
    <mergeCell ref="A1304:A1307"/>
    <mergeCell ref="G1304:G1307"/>
    <mergeCell ref="A1308:A1311"/>
    <mergeCell ref="G1308:G1311"/>
    <mergeCell ref="A1312:A1315"/>
    <mergeCell ref="G1312:G1315"/>
    <mergeCell ref="A1316:A1319"/>
    <mergeCell ref="G1316:G1319"/>
    <mergeCell ref="A1320:A1323"/>
    <mergeCell ref="G1320:G1323"/>
    <mergeCell ref="C1323:C1326"/>
    <mergeCell ref="D1323:D1326"/>
    <mergeCell ref="A1324:A1327"/>
    <mergeCell ref="G1324:G1327"/>
    <mergeCell ref="A1328:A1331"/>
    <mergeCell ref="B1328:B1331"/>
    <mergeCell ref="C1328:C1331"/>
    <mergeCell ref="D1328:D1331"/>
    <mergeCell ref="G1328:G1331"/>
    <mergeCell ref="J1328:J1331"/>
    <mergeCell ref="A1332:A1335"/>
    <mergeCell ref="B1332:B1335"/>
    <mergeCell ref="C1332:C1335"/>
    <mergeCell ref="D1332:D1335"/>
    <mergeCell ref="G1332:G1335"/>
    <mergeCell ref="J1332:J1335"/>
    <mergeCell ref="A1336:A1339"/>
    <mergeCell ref="B1336:B1339"/>
    <mergeCell ref="C1336:C1339"/>
    <mergeCell ref="D1336:D1339"/>
    <mergeCell ref="G1336:G1339"/>
    <mergeCell ref="J1336:J1339"/>
    <mergeCell ref="A1340:A1343"/>
    <mergeCell ref="B1340:B1343"/>
    <mergeCell ref="C1340:C1343"/>
    <mergeCell ref="D1340:D1343"/>
    <mergeCell ref="G1340:G1343"/>
    <mergeCell ref="J1340:J1343"/>
    <mergeCell ref="A1344:A1347"/>
    <mergeCell ref="B1344:B1347"/>
    <mergeCell ref="C1344:C1347"/>
    <mergeCell ref="D1344:D1347"/>
    <mergeCell ref="G1344:G1347"/>
    <mergeCell ref="J1344:J1347"/>
    <mergeCell ref="A1348:A1350"/>
    <mergeCell ref="B1348:B1350"/>
    <mergeCell ref="C1348:C1350"/>
    <mergeCell ref="D1348:D1350"/>
    <mergeCell ref="G1348:G1350"/>
    <mergeCell ref="A1351:A1353"/>
    <mergeCell ref="B1351:B1353"/>
    <mergeCell ref="C1351:C1353"/>
    <mergeCell ref="D1351:D1353"/>
    <mergeCell ref="G1351:G1353"/>
    <mergeCell ref="A1354:A1356"/>
    <mergeCell ref="B1354:B1356"/>
    <mergeCell ref="C1354:C1356"/>
    <mergeCell ref="D1354:D1356"/>
    <mergeCell ref="G1354:G1356"/>
    <mergeCell ref="A1357:A1360"/>
    <mergeCell ref="A1361:A1365"/>
    <mergeCell ref="A1366:A1369"/>
    <mergeCell ref="A1371:A1373"/>
    <mergeCell ref="C1371:C1373"/>
    <mergeCell ref="D1371:D1373"/>
    <mergeCell ref="E1371:E1373"/>
    <mergeCell ref="G1371:G1373"/>
    <mergeCell ref="A1374:A1376"/>
    <mergeCell ref="C1374:C1376"/>
    <mergeCell ref="D1374:D1376"/>
    <mergeCell ref="E1374:E1376"/>
    <mergeCell ref="H1374:H1377"/>
    <mergeCell ref="G1375:G1377"/>
    <mergeCell ref="H1379:H1381"/>
    <mergeCell ref="A1383:A1385"/>
    <mergeCell ref="B1383:B1385"/>
    <mergeCell ref="C1383:C1385"/>
    <mergeCell ref="D1383:D1385"/>
    <mergeCell ref="G1383:G1385"/>
    <mergeCell ref="J1383:J1385"/>
    <mergeCell ref="A1386:A1388"/>
    <mergeCell ref="B1386:B1388"/>
    <mergeCell ref="C1386:C1388"/>
    <mergeCell ref="D1386:D1388"/>
    <mergeCell ref="G1386:G1388"/>
    <mergeCell ref="J1386:J1388"/>
    <mergeCell ref="A1389:A1391"/>
    <mergeCell ref="B1389:B1391"/>
    <mergeCell ref="C1389:C1391"/>
    <mergeCell ref="D1389:D1391"/>
    <mergeCell ref="G1389:G1394"/>
    <mergeCell ref="J1389:J1391"/>
    <mergeCell ref="A1392:A1394"/>
    <mergeCell ref="B1392:B1394"/>
    <mergeCell ref="C1392:C1394"/>
    <mergeCell ref="D1392:D1394"/>
    <mergeCell ref="J1392:J1394"/>
    <mergeCell ref="A1395:A1397"/>
    <mergeCell ref="B1395:B1397"/>
    <mergeCell ref="C1395:C1397"/>
    <mergeCell ref="D1395:D1397"/>
    <mergeCell ref="G1395:G1397"/>
    <mergeCell ref="J1395:J1397"/>
    <mergeCell ref="A1398:A1400"/>
    <mergeCell ref="B1398:B1400"/>
    <mergeCell ref="C1398:C1400"/>
    <mergeCell ref="D1398:D1400"/>
    <mergeCell ref="G1398:G1400"/>
    <mergeCell ref="J1398:J1400"/>
    <mergeCell ref="A1401:A1403"/>
    <mergeCell ref="B1401:B1403"/>
    <mergeCell ref="C1401:C1403"/>
    <mergeCell ref="D1401:D1403"/>
    <mergeCell ref="G1401:G1403"/>
    <mergeCell ref="J1401:J1403"/>
    <mergeCell ref="A1404:A1406"/>
    <mergeCell ref="B1404:B1406"/>
    <mergeCell ref="C1404:C1406"/>
    <mergeCell ref="D1404:D1406"/>
    <mergeCell ref="G1404:G1406"/>
    <mergeCell ref="J1404:J1406"/>
    <mergeCell ref="A1407:A1409"/>
    <mergeCell ref="B1407:B1409"/>
    <mergeCell ref="C1407:C1409"/>
    <mergeCell ref="D1407:D1409"/>
    <mergeCell ref="G1407:G1409"/>
    <mergeCell ref="J1407:J1409"/>
    <mergeCell ref="A1410:A1412"/>
    <mergeCell ref="B1410:B1412"/>
    <mergeCell ref="C1410:C1412"/>
    <mergeCell ref="D1410:D1412"/>
    <mergeCell ref="G1410:G1412"/>
    <mergeCell ref="J1410:J1412"/>
    <mergeCell ref="A1413:A1415"/>
    <mergeCell ref="B1413:B1415"/>
    <mergeCell ref="C1413:C1415"/>
    <mergeCell ref="D1413:D1415"/>
    <mergeCell ref="G1413:G1415"/>
    <mergeCell ref="J1413:J1415"/>
    <mergeCell ref="A1416:A1418"/>
    <mergeCell ref="B1416:B1418"/>
    <mergeCell ref="C1416:C1418"/>
    <mergeCell ref="D1416:D1418"/>
    <mergeCell ref="G1416:G1418"/>
    <mergeCell ref="J1416:J1418"/>
    <mergeCell ref="A1419:A1421"/>
    <mergeCell ref="B1419:B1421"/>
    <mergeCell ref="C1419:C1421"/>
    <mergeCell ref="D1419:D1421"/>
    <mergeCell ref="G1419:G1421"/>
    <mergeCell ref="J1419:J1421"/>
    <mergeCell ref="A1422:A1424"/>
    <mergeCell ref="B1422:B1424"/>
    <mergeCell ref="C1422:C1424"/>
    <mergeCell ref="D1422:D1424"/>
    <mergeCell ref="G1422:G1424"/>
    <mergeCell ref="J1422:J1424"/>
    <mergeCell ref="A1425:A1427"/>
    <mergeCell ref="B1425:B1427"/>
    <mergeCell ref="C1425:C1427"/>
    <mergeCell ref="D1425:D1427"/>
    <mergeCell ref="G1425:G1427"/>
    <mergeCell ref="J1425:J1427"/>
    <mergeCell ref="A1428:A1430"/>
    <mergeCell ref="B1428:B1430"/>
    <mergeCell ref="C1428:C1430"/>
    <mergeCell ref="D1428:D1430"/>
    <mergeCell ref="G1428:G1430"/>
    <mergeCell ref="J1428:J1430"/>
    <mergeCell ref="A1431:A1433"/>
    <mergeCell ref="B1431:B1433"/>
    <mergeCell ref="C1431:C1433"/>
    <mergeCell ref="D1431:D1433"/>
    <mergeCell ref="G1431:G1433"/>
    <mergeCell ref="J1431:J1433"/>
    <mergeCell ref="A1434:A1436"/>
    <mergeCell ref="B1434:B1436"/>
    <mergeCell ref="C1434:C1436"/>
    <mergeCell ref="D1434:D1436"/>
    <mergeCell ref="G1434:G1436"/>
    <mergeCell ref="J1434:J1436"/>
    <mergeCell ref="A1437:A1439"/>
    <mergeCell ref="B1437:B1439"/>
    <mergeCell ref="C1437:C1439"/>
    <mergeCell ref="D1437:D1439"/>
    <mergeCell ref="G1437:G1439"/>
    <mergeCell ref="J1437:J1439"/>
    <mergeCell ref="A1440:A1442"/>
    <mergeCell ref="B1440:B1442"/>
    <mergeCell ref="C1440:C1442"/>
    <mergeCell ref="D1440:D1442"/>
    <mergeCell ref="G1440:G1442"/>
    <mergeCell ref="J1440:J1442"/>
    <mergeCell ref="A1443:A1445"/>
    <mergeCell ref="B1443:B1445"/>
    <mergeCell ref="C1443:C1445"/>
    <mergeCell ref="D1443:D1445"/>
    <mergeCell ref="G1443:G1445"/>
    <mergeCell ref="J1443:J1445"/>
    <mergeCell ref="A1446:A1448"/>
    <mergeCell ref="B1446:B1448"/>
    <mergeCell ref="C1446:C1448"/>
    <mergeCell ref="D1446:D1448"/>
    <mergeCell ref="G1446:G1448"/>
    <mergeCell ref="J1446:J1448"/>
    <mergeCell ref="A1449:A1451"/>
    <mergeCell ref="B1449:B1451"/>
    <mergeCell ref="C1449:C1451"/>
    <mergeCell ref="D1449:D1451"/>
    <mergeCell ref="G1449:G1451"/>
    <mergeCell ref="J1449:J1451"/>
    <mergeCell ref="A1452:A1454"/>
    <mergeCell ref="B1452:B1454"/>
    <mergeCell ref="C1452:C1454"/>
    <mergeCell ref="D1452:D1454"/>
    <mergeCell ref="G1452:G1454"/>
    <mergeCell ref="J1452:J1454"/>
    <mergeCell ref="A1455:A1457"/>
    <mergeCell ref="B1455:B1457"/>
    <mergeCell ref="C1455:C1457"/>
    <mergeCell ref="D1455:D1457"/>
    <mergeCell ref="J1455:J1457"/>
    <mergeCell ref="A1458:A1460"/>
    <mergeCell ref="B1458:B1460"/>
    <mergeCell ref="C1458:C1460"/>
    <mergeCell ref="D1458:D1460"/>
    <mergeCell ref="G1458:G1460"/>
    <mergeCell ref="J1458:J1460"/>
    <mergeCell ref="A1461:A1463"/>
    <mergeCell ref="B1461:B1463"/>
    <mergeCell ref="C1461:C1463"/>
    <mergeCell ref="D1461:D1463"/>
    <mergeCell ref="G1461:G1463"/>
    <mergeCell ref="J1461:J1463"/>
    <mergeCell ref="A1464:A1466"/>
    <mergeCell ref="B1464:B1466"/>
    <mergeCell ref="C1464:C1466"/>
    <mergeCell ref="D1464:D1466"/>
    <mergeCell ref="G1464:G1466"/>
    <mergeCell ref="J1464:J1466"/>
    <mergeCell ref="A1467:A1469"/>
    <mergeCell ref="B1467:B1469"/>
    <mergeCell ref="C1467:C1469"/>
    <mergeCell ref="D1467:D1469"/>
    <mergeCell ref="G1467:G1469"/>
    <mergeCell ref="J1467:J1469"/>
    <mergeCell ref="A1470:A1472"/>
    <mergeCell ref="B1470:B1472"/>
    <mergeCell ref="C1470:C1472"/>
    <mergeCell ref="D1470:D1472"/>
    <mergeCell ref="G1470:G1472"/>
    <mergeCell ref="J1470:J1472"/>
    <mergeCell ref="A1473:A1475"/>
    <mergeCell ref="B1473:B1475"/>
    <mergeCell ref="C1473:C1475"/>
    <mergeCell ref="D1473:D1475"/>
    <mergeCell ref="G1473:G1475"/>
    <mergeCell ref="J1473:J1475"/>
    <mergeCell ref="A1476:A1478"/>
    <mergeCell ref="B1476:B1478"/>
    <mergeCell ref="C1476:C1478"/>
    <mergeCell ref="D1476:D1478"/>
    <mergeCell ref="G1476:G1478"/>
    <mergeCell ref="J1476:J1478"/>
    <mergeCell ref="A1479:A1481"/>
    <mergeCell ref="B1479:B1481"/>
    <mergeCell ref="G1479:G1481"/>
    <mergeCell ref="J1479:J1481"/>
    <mergeCell ref="A1482:A1484"/>
    <mergeCell ref="B1482:B1484"/>
    <mergeCell ref="C1482:C1484"/>
    <mergeCell ref="D1482:D1484"/>
    <mergeCell ref="G1482:G1484"/>
    <mergeCell ref="J1482:J1484"/>
    <mergeCell ref="A1485:A1487"/>
    <mergeCell ref="B1485:B1487"/>
    <mergeCell ref="C1485:C1487"/>
    <mergeCell ref="D1485:D1487"/>
    <mergeCell ref="G1485:G1487"/>
    <mergeCell ref="J1485:J1487"/>
    <mergeCell ref="A1488:A1490"/>
    <mergeCell ref="B1488:B1490"/>
    <mergeCell ref="C1488:C1490"/>
    <mergeCell ref="D1488:D1490"/>
    <mergeCell ref="G1488:G1490"/>
    <mergeCell ref="J1488:J1490"/>
    <mergeCell ref="A1491:A1493"/>
    <mergeCell ref="B1491:B1493"/>
    <mergeCell ref="C1491:C1493"/>
    <mergeCell ref="D1491:D1493"/>
    <mergeCell ref="G1491:G1493"/>
    <mergeCell ref="J1491:J1493"/>
    <mergeCell ref="A1494:A1496"/>
    <mergeCell ref="B1494:B1496"/>
    <mergeCell ref="C1494:C1496"/>
    <mergeCell ref="D1494:D1496"/>
    <mergeCell ref="G1494:G1496"/>
    <mergeCell ref="J1494:J1496"/>
    <mergeCell ref="A1497:A1499"/>
    <mergeCell ref="B1497:B1499"/>
    <mergeCell ref="C1497:C1499"/>
    <mergeCell ref="D1497:D1499"/>
    <mergeCell ref="G1497:G1499"/>
    <mergeCell ref="J1497:J1499"/>
    <mergeCell ref="A1500:A1502"/>
    <mergeCell ref="B1500:B1502"/>
    <mergeCell ref="C1500:C1502"/>
    <mergeCell ref="D1500:D1502"/>
    <mergeCell ref="G1500:G1502"/>
    <mergeCell ref="J1500:J1502"/>
    <mergeCell ref="A1503:A1505"/>
    <mergeCell ref="B1503:B1505"/>
    <mergeCell ref="C1503:C1505"/>
    <mergeCell ref="D1503:D1505"/>
    <mergeCell ref="G1503:G1505"/>
    <mergeCell ref="J1503:J1505"/>
    <mergeCell ref="A1506:A1508"/>
    <mergeCell ref="B1506:B1508"/>
    <mergeCell ref="C1506:C1508"/>
    <mergeCell ref="D1506:D1508"/>
    <mergeCell ref="G1506:G1508"/>
    <mergeCell ref="J1506:J1508"/>
    <mergeCell ref="A1509:A1511"/>
    <mergeCell ref="B1509:B1511"/>
    <mergeCell ref="C1509:C1511"/>
    <mergeCell ref="D1509:D1511"/>
    <mergeCell ref="G1509:G1511"/>
    <mergeCell ref="J1509:J1511"/>
    <mergeCell ref="A1512:A1514"/>
    <mergeCell ref="B1512:B1514"/>
    <mergeCell ref="C1512:C1514"/>
    <mergeCell ref="D1512:D1514"/>
    <mergeCell ref="G1512:G1514"/>
    <mergeCell ref="J1512:J1514"/>
    <mergeCell ref="A1515:A1517"/>
    <mergeCell ref="B1515:B1517"/>
    <mergeCell ref="C1515:C1517"/>
    <mergeCell ref="D1515:D1517"/>
    <mergeCell ref="G1515:G1517"/>
    <mergeCell ref="J1515:J1517"/>
    <mergeCell ref="A1518:A1520"/>
    <mergeCell ref="B1518:B1520"/>
    <mergeCell ref="C1518:C1520"/>
    <mergeCell ref="D1518:D1520"/>
    <mergeCell ref="G1518:G1520"/>
    <mergeCell ref="J1518:J1520"/>
    <mergeCell ref="A1521:A1523"/>
    <mergeCell ref="B1521:B1523"/>
    <mergeCell ref="C1521:C1523"/>
    <mergeCell ref="D1521:D1523"/>
    <mergeCell ref="G1521:G1523"/>
    <mergeCell ref="J1521:J1523"/>
    <mergeCell ref="A1524:A1526"/>
    <mergeCell ref="B1524:B1526"/>
    <mergeCell ref="C1524:C1526"/>
    <mergeCell ref="D1524:D1526"/>
    <mergeCell ref="G1524:G1526"/>
    <mergeCell ref="J1524:J1526"/>
    <mergeCell ref="A1527:A1529"/>
    <mergeCell ref="B1527:B1529"/>
    <mergeCell ref="C1527:C1529"/>
    <mergeCell ref="D1527:D1529"/>
    <mergeCell ref="G1527:G1529"/>
    <mergeCell ref="J1527:J1529"/>
    <mergeCell ref="A1530:A1532"/>
    <mergeCell ref="B1530:B1532"/>
    <mergeCell ref="C1530:C1532"/>
    <mergeCell ref="D1530:D1532"/>
    <mergeCell ref="G1530:G1532"/>
    <mergeCell ref="J1530:J1532"/>
    <mergeCell ref="A1533:A1535"/>
    <mergeCell ref="B1533:B1535"/>
    <mergeCell ref="C1533:C1535"/>
    <mergeCell ref="D1533:D1535"/>
    <mergeCell ref="G1533:G1535"/>
    <mergeCell ref="J1533:J1535"/>
    <mergeCell ref="A1536:A1538"/>
    <mergeCell ref="B1536:B1538"/>
    <mergeCell ref="C1536:C1538"/>
    <mergeCell ref="D1536:D1538"/>
    <mergeCell ref="G1536:G1538"/>
    <mergeCell ref="J1536:J1538"/>
    <mergeCell ref="A1539:A1541"/>
    <mergeCell ref="B1539:B1541"/>
    <mergeCell ref="C1539:C1541"/>
    <mergeCell ref="D1539:D1541"/>
    <mergeCell ref="G1539:G1541"/>
    <mergeCell ref="J1539:J1541"/>
    <mergeCell ref="A1542:A1544"/>
    <mergeCell ref="B1542:B1544"/>
    <mergeCell ref="C1542:C1544"/>
    <mergeCell ref="D1542:D1544"/>
    <mergeCell ref="G1542:G1544"/>
    <mergeCell ref="J1542:J1544"/>
    <mergeCell ref="A1545:A1547"/>
    <mergeCell ref="B1545:B1547"/>
    <mergeCell ref="C1545:C1547"/>
    <mergeCell ref="D1545:D1547"/>
    <mergeCell ref="G1545:G1547"/>
    <mergeCell ref="J1545:J1547"/>
    <mergeCell ref="A1548:A1550"/>
    <mergeCell ref="B1548:B1550"/>
    <mergeCell ref="C1548:C1550"/>
    <mergeCell ref="D1548:D1550"/>
    <mergeCell ref="G1548:G1550"/>
    <mergeCell ref="J1548:J1550"/>
    <mergeCell ref="A1551:A1553"/>
    <mergeCell ref="B1551:B1553"/>
    <mergeCell ref="C1551:C1553"/>
    <mergeCell ref="D1551:D1553"/>
    <mergeCell ref="G1551:G1553"/>
    <mergeCell ref="J1551:J1553"/>
    <mergeCell ref="A1554:A1556"/>
    <mergeCell ref="B1554:B1556"/>
    <mergeCell ref="C1554:C1556"/>
    <mergeCell ref="D1554:D1556"/>
    <mergeCell ref="G1554:G1556"/>
    <mergeCell ref="J1554:J1556"/>
    <mergeCell ref="A1557:A1559"/>
    <mergeCell ref="B1557:B1559"/>
    <mergeCell ref="C1557:C1559"/>
    <mergeCell ref="D1557:D1559"/>
    <mergeCell ref="G1557:G1559"/>
    <mergeCell ref="J1557:J1559"/>
    <mergeCell ref="A1560:A1562"/>
    <mergeCell ref="B1560:B1562"/>
    <mergeCell ref="C1560:C1562"/>
    <mergeCell ref="D1560:D1562"/>
    <mergeCell ref="G1560:G1562"/>
    <mergeCell ref="J1560:J1562"/>
    <mergeCell ref="A1563:A1565"/>
    <mergeCell ref="B1563:B1565"/>
    <mergeCell ref="C1563:C1565"/>
    <mergeCell ref="D1563:D1565"/>
    <mergeCell ref="G1563:G1565"/>
    <mergeCell ref="J1563:J1565"/>
    <mergeCell ref="A1566:A1568"/>
    <mergeCell ref="B1566:B1568"/>
    <mergeCell ref="C1566:C1568"/>
    <mergeCell ref="D1566:D1568"/>
    <mergeCell ref="G1566:G1568"/>
    <mergeCell ref="J1566:J1568"/>
    <mergeCell ref="A1569:A1571"/>
    <mergeCell ref="B1569:B1571"/>
    <mergeCell ref="C1569:C1571"/>
    <mergeCell ref="D1569:D1571"/>
    <mergeCell ref="G1569:G1571"/>
    <mergeCell ref="J1569:J1571"/>
    <mergeCell ref="A1572:A1574"/>
    <mergeCell ref="B1572:B1574"/>
    <mergeCell ref="C1572:C1574"/>
    <mergeCell ref="D1572:D1574"/>
    <mergeCell ref="G1572:G1574"/>
    <mergeCell ref="J1572:J1574"/>
    <mergeCell ref="A1575:A1577"/>
    <mergeCell ref="B1575:B1577"/>
    <mergeCell ref="C1575:C1577"/>
    <mergeCell ref="D1575:D1577"/>
    <mergeCell ref="G1575:G1577"/>
    <mergeCell ref="J1575:J1577"/>
    <mergeCell ref="A1578:A1580"/>
    <mergeCell ref="B1578:B1580"/>
    <mergeCell ref="C1578:C1580"/>
    <mergeCell ref="D1578:D1580"/>
    <mergeCell ref="G1578:G1580"/>
    <mergeCell ref="J1578:J1580"/>
    <mergeCell ref="A1581:A1583"/>
    <mergeCell ref="B1581:B1583"/>
    <mergeCell ref="A1584:A1586"/>
    <mergeCell ref="B1584:B1586"/>
    <mergeCell ref="C1584:C1586"/>
    <mergeCell ref="D1584:D1586"/>
    <mergeCell ref="G1584:G1586"/>
    <mergeCell ref="J1584:J1586"/>
    <mergeCell ref="A1587:A1589"/>
    <mergeCell ref="B1587:B1589"/>
    <mergeCell ref="C1587:C1589"/>
    <mergeCell ref="D1587:D1589"/>
    <mergeCell ref="G1587:G1589"/>
    <mergeCell ref="J1587:J1589"/>
    <mergeCell ref="A1590:A1592"/>
    <mergeCell ref="B1590:B1592"/>
    <mergeCell ref="C1590:C1592"/>
    <mergeCell ref="D1590:D1592"/>
    <mergeCell ref="G1590:G1592"/>
    <mergeCell ref="J1590:J1592"/>
    <mergeCell ref="A1593:A1595"/>
    <mergeCell ref="B1593:B1595"/>
    <mergeCell ref="C1593:C1595"/>
    <mergeCell ref="D1593:D1595"/>
    <mergeCell ref="G1593:G1595"/>
    <mergeCell ref="J1593:J1595"/>
    <mergeCell ref="A1596:A1598"/>
    <mergeCell ref="B1596:B1598"/>
    <mergeCell ref="C1596:C1598"/>
    <mergeCell ref="D1596:D1598"/>
    <mergeCell ref="G1596:G1598"/>
    <mergeCell ref="J1596:J1598"/>
    <mergeCell ref="A1599:A1601"/>
    <mergeCell ref="B1599:B1601"/>
    <mergeCell ref="C1599:C1601"/>
    <mergeCell ref="D1599:D1601"/>
    <mergeCell ref="G1599:G1601"/>
    <mergeCell ref="J1599:J1601"/>
    <mergeCell ref="A1602:A1604"/>
    <mergeCell ref="B1602:B1604"/>
    <mergeCell ref="C1602:C1604"/>
    <mergeCell ref="D1602:D1604"/>
    <mergeCell ref="G1602:G1604"/>
    <mergeCell ref="J1602:J1604"/>
    <mergeCell ref="A1605:A1607"/>
    <mergeCell ref="B1605:B1607"/>
    <mergeCell ref="C1605:C1607"/>
    <mergeCell ref="D1605:D1607"/>
    <mergeCell ref="G1605:G1607"/>
    <mergeCell ref="J1605:J1607"/>
    <mergeCell ref="A1608:A1610"/>
    <mergeCell ref="B1608:B1610"/>
    <mergeCell ref="C1608:C1610"/>
    <mergeCell ref="D1608:D1610"/>
    <mergeCell ref="G1608:G1610"/>
    <mergeCell ref="J1608:J1610"/>
    <mergeCell ref="A1611:A1613"/>
    <mergeCell ref="B1611:B1613"/>
    <mergeCell ref="C1611:C1613"/>
    <mergeCell ref="D1611:D1613"/>
    <mergeCell ref="G1611:G1613"/>
    <mergeCell ref="J1611:J1613"/>
    <mergeCell ref="A1614:A1616"/>
    <mergeCell ref="B1614:B1616"/>
    <mergeCell ref="C1614:C1616"/>
    <mergeCell ref="D1614:D1616"/>
    <mergeCell ref="G1614:G1616"/>
    <mergeCell ref="J1614:J1616"/>
    <mergeCell ref="A1617:A1619"/>
    <mergeCell ref="B1617:B1619"/>
    <mergeCell ref="C1617:C1619"/>
    <mergeCell ref="D1617:D1619"/>
    <mergeCell ref="G1617:G1619"/>
    <mergeCell ref="J1617:J1619"/>
    <mergeCell ref="A1620:A1622"/>
    <mergeCell ref="B1620:B1622"/>
    <mergeCell ref="C1620:C1622"/>
    <mergeCell ref="D1620:D1622"/>
    <mergeCell ref="G1620:G1622"/>
    <mergeCell ref="J1620:J1622"/>
    <mergeCell ref="A1623:A1625"/>
    <mergeCell ref="B1623:B1625"/>
    <mergeCell ref="C1623:C1625"/>
    <mergeCell ref="D1623:D1625"/>
    <mergeCell ref="G1623:G1625"/>
    <mergeCell ref="J1623:J1625"/>
    <mergeCell ref="A1626:A1628"/>
    <mergeCell ref="B1626:B1628"/>
    <mergeCell ref="C1626:C1628"/>
    <mergeCell ref="D1626:D1628"/>
    <mergeCell ref="G1626:G1628"/>
    <mergeCell ref="J1626:J1628"/>
    <mergeCell ref="A1629:A1631"/>
    <mergeCell ref="B1629:B1631"/>
    <mergeCell ref="C1629:C1631"/>
    <mergeCell ref="D1629:D1631"/>
    <mergeCell ref="G1629:G1631"/>
    <mergeCell ref="J1629:J1631"/>
    <mergeCell ref="A1632:A1634"/>
    <mergeCell ref="B1632:B1634"/>
    <mergeCell ref="C1632:C1634"/>
    <mergeCell ref="D1632:D1634"/>
    <mergeCell ref="G1632:G1634"/>
    <mergeCell ref="J1632:J1634"/>
    <mergeCell ref="A1635:A1637"/>
    <mergeCell ref="B1635:B1637"/>
    <mergeCell ref="C1635:C1637"/>
    <mergeCell ref="D1635:D1637"/>
    <mergeCell ref="G1635:G1637"/>
    <mergeCell ref="J1635:J1637"/>
    <mergeCell ref="A1638:A1640"/>
    <mergeCell ref="B1638:B1640"/>
    <mergeCell ref="C1638:C1640"/>
    <mergeCell ref="D1638:D1640"/>
    <mergeCell ref="G1638:G1640"/>
    <mergeCell ref="J1638:J1640"/>
    <mergeCell ref="A1641:A1643"/>
    <mergeCell ref="B1641:B1643"/>
    <mergeCell ref="C1641:C1643"/>
    <mergeCell ref="D1641:D1643"/>
    <mergeCell ref="G1641:G1643"/>
    <mergeCell ref="J1641:J1643"/>
    <mergeCell ref="A1644:A1646"/>
    <mergeCell ref="B1644:B1646"/>
    <mergeCell ref="C1644:C1646"/>
    <mergeCell ref="D1644:D1646"/>
    <mergeCell ref="G1644:G1646"/>
    <mergeCell ref="J1644:J1646"/>
    <mergeCell ref="A1647:A1649"/>
    <mergeCell ref="B1647:B1649"/>
    <mergeCell ref="C1647:C1649"/>
    <mergeCell ref="D1647:D1649"/>
    <mergeCell ref="G1647:G1649"/>
    <mergeCell ref="J1647:J1649"/>
    <mergeCell ref="A1650:A1652"/>
    <mergeCell ref="B1650:B1652"/>
    <mergeCell ref="C1650:C1652"/>
    <mergeCell ref="D1650:D1652"/>
    <mergeCell ref="G1650:G1652"/>
    <mergeCell ref="J1650:J1652"/>
    <mergeCell ref="A1653:A1655"/>
    <mergeCell ref="B1653:B1655"/>
    <mergeCell ref="C1653:C1655"/>
    <mergeCell ref="D1653:D1655"/>
    <mergeCell ref="G1653:G1655"/>
    <mergeCell ref="J1653:J1655"/>
    <mergeCell ref="A1656:A1658"/>
    <mergeCell ref="B1656:B1658"/>
    <mergeCell ref="C1656:C1658"/>
    <mergeCell ref="D1656:D1658"/>
    <mergeCell ref="G1656:G1658"/>
    <mergeCell ref="J1656:J1658"/>
    <mergeCell ref="A1659:A1661"/>
    <mergeCell ref="B1659:B1661"/>
    <mergeCell ref="C1659:C1661"/>
    <mergeCell ref="D1659:D1661"/>
    <mergeCell ref="G1659:G1661"/>
    <mergeCell ref="J1659:J1661"/>
    <mergeCell ref="A1662:A1664"/>
    <mergeCell ref="B1662:B1664"/>
    <mergeCell ref="C1662:C1664"/>
    <mergeCell ref="D1662:D1664"/>
    <mergeCell ref="G1662:G1676"/>
    <mergeCell ref="J1662:J1664"/>
    <mergeCell ref="A1665:A1667"/>
    <mergeCell ref="B1665:B1667"/>
    <mergeCell ref="C1665:C1667"/>
    <mergeCell ref="D1665:D1667"/>
    <mergeCell ref="J1665:J1667"/>
    <mergeCell ref="A1668:A1670"/>
    <mergeCell ref="B1668:B1670"/>
    <mergeCell ref="C1668:C1670"/>
    <mergeCell ref="D1668:D1670"/>
    <mergeCell ref="J1668:J1670"/>
    <mergeCell ref="A1671:A1673"/>
    <mergeCell ref="B1671:B1673"/>
    <mergeCell ref="C1671:C1673"/>
    <mergeCell ref="D1671:D1673"/>
    <mergeCell ref="J1671:J1673"/>
    <mergeCell ref="A1674:A1676"/>
    <mergeCell ref="B1674:B1676"/>
    <mergeCell ref="C1674:C1676"/>
    <mergeCell ref="D1674:D1676"/>
    <mergeCell ref="J1674:J1676"/>
    <mergeCell ref="A1677:A1679"/>
    <mergeCell ref="B1677:B1679"/>
    <mergeCell ref="C1677:C1679"/>
    <mergeCell ref="D1677:D1679"/>
    <mergeCell ref="G1677:G1679"/>
    <mergeCell ref="J1677:J1679"/>
    <mergeCell ref="A1680:A1682"/>
    <mergeCell ref="B1680:B1682"/>
    <mergeCell ref="C1680:C1682"/>
    <mergeCell ref="D1680:D1682"/>
    <mergeCell ref="G1680:G1682"/>
    <mergeCell ref="J1680:J1682"/>
    <mergeCell ref="A1683:A1685"/>
    <mergeCell ref="B1683:B1685"/>
    <mergeCell ref="C1683:C1685"/>
    <mergeCell ref="D1683:D1685"/>
    <mergeCell ref="G1683:G1685"/>
    <mergeCell ref="J1683:J1685"/>
    <mergeCell ref="A1686:A1688"/>
    <mergeCell ref="B1686:B1688"/>
    <mergeCell ref="C1686:C1688"/>
    <mergeCell ref="D1686:D1688"/>
    <mergeCell ref="G1686:G1688"/>
    <mergeCell ref="J1686:J1688"/>
    <mergeCell ref="A1689:A1691"/>
    <mergeCell ref="B1689:B1691"/>
    <mergeCell ref="C1689:C1691"/>
    <mergeCell ref="D1689:D1691"/>
    <mergeCell ref="G1689:G1691"/>
    <mergeCell ref="J1689:J1691"/>
    <mergeCell ref="A1692:A1694"/>
    <mergeCell ref="B1692:B1694"/>
    <mergeCell ref="C1692:C1694"/>
    <mergeCell ref="D1692:D1694"/>
    <mergeCell ref="G1692:G1694"/>
    <mergeCell ref="J1692:J1694"/>
    <mergeCell ref="A1695:A1697"/>
    <mergeCell ref="B1695:B1697"/>
    <mergeCell ref="C1695:C1697"/>
    <mergeCell ref="D1695:D1697"/>
    <mergeCell ref="G1695:G1697"/>
    <mergeCell ref="J1695:J1697"/>
    <mergeCell ref="A1698:A1700"/>
    <mergeCell ref="B1698:B1700"/>
    <mergeCell ref="C1698:C1700"/>
    <mergeCell ref="D1698:D1700"/>
    <mergeCell ref="G1698:G1700"/>
    <mergeCell ref="J1698:J1700"/>
    <mergeCell ref="A1701:A1703"/>
    <mergeCell ref="B1701:B1703"/>
    <mergeCell ref="C1701:C1703"/>
    <mergeCell ref="D1701:D1703"/>
    <mergeCell ref="G1701:G1703"/>
    <mergeCell ref="J1701:J1703"/>
    <mergeCell ref="A1704:A1706"/>
    <mergeCell ref="B1704:B1706"/>
    <mergeCell ref="C1704:C1706"/>
    <mergeCell ref="D1704:D1706"/>
    <mergeCell ref="G1704:G1706"/>
    <mergeCell ref="J1704:J1706"/>
    <mergeCell ref="A1707:A1709"/>
    <mergeCell ref="B1707:B1709"/>
    <mergeCell ref="C1707:C1709"/>
    <mergeCell ref="D1707:D1709"/>
    <mergeCell ref="G1707:G1709"/>
    <mergeCell ref="J1707:J1709"/>
    <mergeCell ref="A1710:A1712"/>
    <mergeCell ref="B1710:B1712"/>
    <mergeCell ref="C1710:C1712"/>
    <mergeCell ref="D1710:D1712"/>
    <mergeCell ref="G1710:G1712"/>
    <mergeCell ref="J1710:J1712"/>
    <mergeCell ref="A1713:A1715"/>
    <mergeCell ref="B1713:B1715"/>
    <mergeCell ref="C1713:C1715"/>
    <mergeCell ref="D1713:D1715"/>
    <mergeCell ref="G1713:G1715"/>
    <mergeCell ref="J1713:J1715"/>
    <mergeCell ref="A1716:A1718"/>
    <mergeCell ref="B1716:B1718"/>
    <mergeCell ref="C1716:C1718"/>
    <mergeCell ref="D1716:D1718"/>
    <mergeCell ref="G1716:G1718"/>
    <mergeCell ref="J1716:J1718"/>
    <mergeCell ref="A1719:A1721"/>
    <mergeCell ref="B1719:B1721"/>
    <mergeCell ref="C1719:C1721"/>
    <mergeCell ref="D1719:D1721"/>
    <mergeCell ref="G1719:G1721"/>
    <mergeCell ref="J1719:J1721"/>
    <mergeCell ref="A1722:A1724"/>
    <mergeCell ref="B1722:B1724"/>
    <mergeCell ref="C1722:C1724"/>
    <mergeCell ref="D1722:D1724"/>
    <mergeCell ref="G1722:G1724"/>
    <mergeCell ref="J1722:J1724"/>
    <mergeCell ref="A1725:A1727"/>
    <mergeCell ref="B1725:B1727"/>
    <mergeCell ref="C1725:C1727"/>
    <mergeCell ref="D1725:D1727"/>
    <mergeCell ref="G1725:G1727"/>
    <mergeCell ref="J1725:J1727"/>
    <mergeCell ref="A1728:A1730"/>
    <mergeCell ref="B1728:B1730"/>
    <mergeCell ref="C1728:C1730"/>
    <mergeCell ref="D1728:D1730"/>
    <mergeCell ref="G1728:G1730"/>
    <mergeCell ref="J1728:J1730"/>
    <mergeCell ref="A1731:A1733"/>
    <mergeCell ref="B1731:B1733"/>
    <mergeCell ref="C1731:C1733"/>
    <mergeCell ref="D1731:D1733"/>
    <mergeCell ref="G1731:G1733"/>
    <mergeCell ref="J1731:J1733"/>
    <mergeCell ref="A1734:A1736"/>
    <mergeCell ref="B1734:B1736"/>
    <mergeCell ref="C1734:C1736"/>
    <mergeCell ref="D1734:D1736"/>
    <mergeCell ref="G1734:G1736"/>
    <mergeCell ref="J1734:J1736"/>
    <mergeCell ref="A1739:A1742"/>
    <mergeCell ref="B1739:B1742"/>
    <mergeCell ref="G1739:G1742"/>
    <mergeCell ref="J1739:J1742"/>
    <mergeCell ref="A1744:B1747"/>
    <mergeCell ref="C1744:C1747"/>
    <mergeCell ref="D1744:D1747"/>
    <mergeCell ref="H1744:H1747"/>
    <mergeCell ref="J1744:J1747"/>
    <mergeCell ref="H1751:H1753"/>
    <mergeCell ref="A1754:B1757"/>
    <mergeCell ref="C1754:C1757"/>
    <mergeCell ref="D1754:D1757"/>
    <mergeCell ref="H1754:H1757"/>
    <mergeCell ref="J1754:J1757"/>
    <mergeCell ref="A1762:K1762"/>
    <mergeCell ref="A1763:K1763"/>
    <mergeCell ref="G1769:G1771"/>
    <mergeCell ref="G1773:G1776"/>
    <mergeCell ref="G1778:G1780"/>
    <mergeCell ref="G1782:G1783"/>
    <mergeCell ref="G1785:G1787"/>
    <mergeCell ref="G1789:G1790"/>
    <mergeCell ref="G1796:G1797"/>
    <mergeCell ref="A1801:B1804"/>
    <mergeCell ref="C1801:C1804"/>
    <mergeCell ref="D1801:D1804"/>
    <mergeCell ref="H1801:H1804"/>
    <mergeCell ref="J1801:J1804"/>
    <mergeCell ref="A8:A10"/>
    <mergeCell ref="A11:A13"/>
    <mergeCell ref="A14:A16"/>
    <mergeCell ref="A17:A19"/>
    <mergeCell ref="A20:A22"/>
    <mergeCell ref="A23:A25"/>
    <mergeCell ref="A26:A28"/>
    <mergeCell ref="A172:F172"/>
    <mergeCell ref="A35:A37"/>
    <mergeCell ref="A38:A40"/>
    <mergeCell ref="A41:A43"/>
    <mergeCell ref="A44:A47"/>
    <mergeCell ref="A48:A50"/>
    <mergeCell ref="A173:A175"/>
    <mergeCell ref="A97:A100"/>
    <mergeCell ref="A101:A104"/>
    <mergeCell ref="A122:A124"/>
    <mergeCell ref="A151:A153"/>
    <mergeCell ref="B173:B175"/>
    <mergeCell ref="C173:C175"/>
    <mergeCell ref="D173:D175"/>
    <mergeCell ref="A176:A178"/>
    <mergeCell ref="B176:B178"/>
    <mergeCell ref="C176:C178"/>
    <mergeCell ref="D176:D178"/>
    <mergeCell ref="A179:A181"/>
    <mergeCell ref="B179:B181"/>
    <mergeCell ref="C179:C181"/>
    <mergeCell ref="D179:D181"/>
    <mergeCell ref="A182:A184"/>
    <mergeCell ref="B182:B184"/>
    <mergeCell ref="C182:C184"/>
    <mergeCell ref="D182:D184"/>
    <mergeCell ref="A185:A187"/>
    <mergeCell ref="B185:B187"/>
    <mergeCell ref="C185:C187"/>
    <mergeCell ref="D185:D187"/>
    <mergeCell ref="A188:A190"/>
    <mergeCell ref="B188:B190"/>
    <mergeCell ref="C188:C190"/>
    <mergeCell ref="D188:D190"/>
    <mergeCell ref="A191:A193"/>
    <mergeCell ref="B191:B193"/>
    <mergeCell ref="C191:C193"/>
    <mergeCell ref="D191:D193"/>
    <mergeCell ref="A194:A196"/>
    <mergeCell ref="B194:B196"/>
    <mergeCell ref="C194:C196"/>
    <mergeCell ref="D194:D196"/>
    <mergeCell ref="A232:A235"/>
    <mergeCell ref="B232:B235"/>
    <mergeCell ref="C232:C235"/>
    <mergeCell ref="D232:D235"/>
    <mergeCell ref="A208:A211"/>
    <mergeCell ref="B208:B211"/>
    <mergeCell ref="A236:A238"/>
    <mergeCell ref="B236:B238"/>
    <mergeCell ref="C236:C238"/>
    <mergeCell ref="D236:D238"/>
    <mergeCell ref="A239:A241"/>
    <mergeCell ref="A389:A391"/>
    <mergeCell ref="B389:B391"/>
    <mergeCell ref="C389:C391"/>
    <mergeCell ref="D389:D391"/>
    <mergeCell ref="A247:A251"/>
    <mergeCell ref="A363:A365"/>
    <mergeCell ref="B363:B365"/>
    <mergeCell ref="C363:C365"/>
    <mergeCell ref="D363:D365"/>
    <mergeCell ref="A369:A370"/>
    <mergeCell ref="B369:B370"/>
    <mergeCell ref="C369:C370"/>
    <mergeCell ref="D369:D370"/>
    <mergeCell ref="A272:A275"/>
    <mergeCell ref="A276:A279"/>
    <mergeCell ref="C279:C282"/>
    <mergeCell ref="D279:D282"/>
    <mergeCell ref="A284:A287"/>
    <mergeCell ref="B284:B287"/>
    <mergeCell ref="C284:C287"/>
    <mergeCell ref="D284:D287"/>
    <mergeCell ref="A288:A291"/>
    <mergeCell ref="B288:B291"/>
    <mergeCell ref="C288:C291"/>
    <mergeCell ref="D288:D291"/>
    <mergeCell ref="A292:A295"/>
    <mergeCell ref="B292:B295"/>
    <mergeCell ref="C292:C295"/>
    <mergeCell ref="D292:D295"/>
    <mergeCell ref="A296:A299"/>
    <mergeCell ref="B296:B299"/>
    <mergeCell ref="C296:C299"/>
    <mergeCell ref="D296:D299"/>
    <mergeCell ref="A300:A303"/>
    <mergeCell ref="B300:B303"/>
    <mergeCell ref="C300:C303"/>
    <mergeCell ref="D300:D303"/>
    <mergeCell ref="A304:A306"/>
    <mergeCell ref="B304:B306"/>
    <mergeCell ref="C304:C306"/>
    <mergeCell ref="D304:D306"/>
    <mergeCell ref="A307:A309"/>
    <mergeCell ref="B307:B309"/>
    <mergeCell ref="C307:C309"/>
    <mergeCell ref="D307:D309"/>
    <mergeCell ref="A310:A312"/>
    <mergeCell ref="B310:B312"/>
    <mergeCell ref="C310:C312"/>
    <mergeCell ref="D310:D312"/>
    <mergeCell ref="A313:A316"/>
    <mergeCell ref="A317:A321"/>
    <mergeCell ref="A356:A358"/>
    <mergeCell ref="B356:B358"/>
    <mergeCell ref="C356:C358"/>
    <mergeCell ref="D356:D358"/>
    <mergeCell ref="A322:A325"/>
    <mergeCell ref="A327:A329"/>
    <mergeCell ref="C327:C329"/>
    <mergeCell ref="D327:D329"/>
    <mergeCell ref="A330:A332"/>
    <mergeCell ref="C330:C332"/>
    <mergeCell ref="A242:A246"/>
    <mergeCell ref="A252:A255"/>
    <mergeCell ref="A256:A259"/>
    <mergeCell ref="A260:A263"/>
    <mergeCell ref="A280:A283"/>
    <mergeCell ref="A338:F338"/>
    <mergeCell ref="A264:A267"/>
    <mergeCell ref="A268:A271"/>
    <mergeCell ref="E327:E329"/>
    <mergeCell ref="D330:D332"/>
    <mergeCell ref="A392:A394"/>
    <mergeCell ref="B392:B394"/>
    <mergeCell ref="C392:C394"/>
    <mergeCell ref="D392:D394"/>
    <mergeCell ref="A395:A397"/>
    <mergeCell ref="B395:B397"/>
    <mergeCell ref="C395:C397"/>
    <mergeCell ref="D395:D397"/>
    <mergeCell ref="A398:A400"/>
    <mergeCell ref="B398:B400"/>
    <mergeCell ref="C398:C400"/>
    <mergeCell ref="D398:D400"/>
    <mergeCell ref="A401:A404"/>
    <mergeCell ref="B401:B404"/>
    <mergeCell ref="C401:C404"/>
    <mergeCell ref="D401:D404"/>
    <mergeCell ref="A405:A407"/>
    <mergeCell ref="B405:B407"/>
    <mergeCell ref="C405:C407"/>
    <mergeCell ref="D405:D407"/>
    <mergeCell ref="A408:A410"/>
    <mergeCell ref="B408:B410"/>
    <mergeCell ref="C408:C410"/>
    <mergeCell ref="D408:D410"/>
    <mergeCell ref="A411:A413"/>
    <mergeCell ref="B411:B413"/>
    <mergeCell ref="C411:C413"/>
    <mergeCell ref="D411:D413"/>
    <mergeCell ref="A414:A416"/>
    <mergeCell ref="B414:B416"/>
    <mergeCell ref="C414:C416"/>
    <mergeCell ref="D414:D416"/>
    <mergeCell ref="A417:A419"/>
    <mergeCell ref="B417:B419"/>
    <mergeCell ref="C417:C419"/>
    <mergeCell ref="D417:D419"/>
    <mergeCell ref="A420:A422"/>
    <mergeCell ref="B420:B422"/>
    <mergeCell ref="C420:C422"/>
    <mergeCell ref="D420:D422"/>
    <mergeCell ref="A423:A425"/>
    <mergeCell ref="B423:B425"/>
    <mergeCell ref="C423:C425"/>
    <mergeCell ref="D423:D425"/>
    <mergeCell ref="A426:A428"/>
    <mergeCell ref="B426:B428"/>
    <mergeCell ref="C426:C428"/>
    <mergeCell ref="D426:D428"/>
    <mergeCell ref="A432:A434"/>
    <mergeCell ref="B432:B434"/>
    <mergeCell ref="C432:C434"/>
    <mergeCell ref="D432:D434"/>
    <mergeCell ref="A435:A437"/>
    <mergeCell ref="B435:B437"/>
    <mergeCell ref="C435:C437"/>
    <mergeCell ref="D435:D437"/>
    <mergeCell ref="A438:A440"/>
    <mergeCell ref="B438:B440"/>
    <mergeCell ref="C438:C440"/>
    <mergeCell ref="D438:D440"/>
    <mergeCell ref="A441:A443"/>
    <mergeCell ref="B441:B443"/>
    <mergeCell ref="C441:C443"/>
    <mergeCell ref="D441:D443"/>
    <mergeCell ref="A444:A446"/>
    <mergeCell ref="B444:B446"/>
    <mergeCell ref="C444:C446"/>
    <mergeCell ref="D444:D446"/>
    <mergeCell ref="A447:A449"/>
    <mergeCell ref="B447:B449"/>
    <mergeCell ref="C447:C449"/>
    <mergeCell ref="D447:D449"/>
    <mergeCell ref="A450:A452"/>
    <mergeCell ref="B450:B452"/>
    <mergeCell ref="C450:C452"/>
    <mergeCell ref="D450:D452"/>
    <mergeCell ref="A453:A455"/>
    <mergeCell ref="B453:B455"/>
    <mergeCell ref="C453:C455"/>
    <mergeCell ref="D453:D455"/>
    <mergeCell ref="A456:A458"/>
    <mergeCell ref="B456:B458"/>
    <mergeCell ref="C456:C458"/>
    <mergeCell ref="D456:D458"/>
    <mergeCell ref="A459:A461"/>
    <mergeCell ref="B459:B461"/>
    <mergeCell ref="C459:C461"/>
    <mergeCell ref="D459:D461"/>
    <mergeCell ref="A462:A464"/>
    <mergeCell ref="B462:B464"/>
    <mergeCell ref="C462:C464"/>
    <mergeCell ref="D462:D464"/>
    <mergeCell ref="A465:A467"/>
    <mergeCell ref="B465:B467"/>
    <mergeCell ref="C465:C467"/>
    <mergeCell ref="D465:D467"/>
    <mergeCell ref="A468:A470"/>
    <mergeCell ref="B468:B470"/>
    <mergeCell ref="C468:C470"/>
    <mergeCell ref="D468:D470"/>
    <mergeCell ref="A471:A473"/>
    <mergeCell ref="B471:B473"/>
    <mergeCell ref="C471:C473"/>
    <mergeCell ref="D471:D473"/>
    <mergeCell ref="A475:A477"/>
    <mergeCell ref="B475:B477"/>
    <mergeCell ref="C475:C477"/>
    <mergeCell ref="D475:D477"/>
    <mergeCell ref="A495:A497"/>
    <mergeCell ref="B495:B497"/>
    <mergeCell ref="C495:C497"/>
    <mergeCell ref="D495:D497"/>
    <mergeCell ref="A498:A500"/>
    <mergeCell ref="B498:B500"/>
    <mergeCell ref="C498:C500"/>
    <mergeCell ref="D498:D500"/>
    <mergeCell ref="A501:A503"/>
    <mergeCell ref="B501:B503"/>
    <mergeCell ref="C501:C503"/>
    <mergeCell ref="D501:D503"/>
    <mergeCell ref="A504:A506"/>
    <mergeCell ref="B504:B506"/>
    <mergeCell ref="C504:C506"/>
    <mergeCell ref="D504:D506"/>
    <mergeCell ref="A507:A509"/>
    <mergeCell ref="B507:B509"/>
    <mergeCell ref="C507:C509"/>
    <mergeCell ref="D507:D509"/>
    <mergeCell ref="A510:A512"/>
    <mergeCell ref="B510:B512"/>
    <mergeCell ref="C510:C512"/>
    <mergeCell ref="D510:D512"/>
    <mergeCell ref="A513:A515"/>
    <mergeCell ref="B513:B515"/>
    <mergeCell ref="C513:C515"/>
    <mergeCell ref="D513:D515"/>
    <mergeCell ref="A516:A518"/>
    <mergeCell ref="B516:B518"/>
    <mergeCell ref="C516:C518"/>
    <mergeCell ref="D516:D518"/>
    <mergeCell ref="A519:A521"/>
    <mergeCell ref="B519:B521"/>
    <mergeCell ref="C519:C521"/>
    <mergeCell ref="D519:D521"/>
    <mergeCell ref="A522:A524"/>
    <mergeCell ref="B522:B524"/>
    <mergeCell ref="C522:C524"/>
    <mergeCell ref="D522:D524"/>
    <mergeCell ref="A525:A527"/>
    <mergeCell ref="B525:B527"/>
    <mergeCell ref="C525:C527"/>
    <mergeCell ref="D525:D527"/>
    <mergeCell ref="A528:A530"/>
    <mergeCell ref="B528:B530"/>
    <mergeCell ref="C528:C530"/>
    <mergeCell ref="D528:D530"/>
    <mergeCell ref="A531:A533"/>
    <mergeCell ref="B531:B533"/>
    <mergeCell ref="C531:C533"/>
    <mergeCell ref="D531:D533"/>
    <mergeCell ref="A534:A536"/>
    <mergeCell ref="B534:B536"/>
    <mergeCell ref="C534:C536"/>
    <mergeCell ref="D534:D536"/>
    <mergeCell ref="A537:A539"/>
    <mergeCell ref="B537:B539"/>
    <mergeCell ref="C537:C539"/>
    <mergeCell ref="D537:D539"/>
    <mergeCell ref="A540:A542"/>
    <mergeCell ref="B540:B542"/>
    <mergeCell ref="C540:C542"/>
    <mergeCell ref="D540:D542"/>
    <mergeCell ref="A543:A545"/>
    <mergeCell ref="B543:B545"/>
    <mergeCell ref="C543:C545"/>
    <mergeCell ref="D543:D545"/>
    <mergeCell ref="A546:A548"/>
    <mergeCell ref="B546:B548"/>
    <mergeCell ref="C546:C548"/>
    <mergeCell ref="D546:D548"/>
    <mergeCell ref="A549:A551"/>
    <mergeCell ref="B549:B551"/>
    <mergeCell ref="C549:C551"/>
    <mergeCell ref="D549:D551"/>
    <mergeCell ref="A552:A554"/>
    <mergeCell ref="B552:B554"/>
    <mergeCell ref="C552:C554"/>
    <mergeCell ref="D552:D554"/>
    <mergeCell ref="A555:A557"/>
    <mergeCell ref="B555:B557"/>
    <mergeCell ref="C555:C557"/>
    <mergeCell ref="D555:D557"/>
    <mergeCell ref="A558:A560"/>
    <mergeCell ref="B558:B560"/>
    <mergeCell ref="C558:C560"/>
    <mergeCell ref="D558:D560"/>
    <mergeCell ref="A561:A563"/>
    <mergeCell ref="B561:B563"/>
    <mergeCell ref="C561:C563"/>
    <mergeCell ref="D561:D563"/>
    <mergeCell ref="A564:A566"/>
    <mergeCell ref="B564:B566"/>
    <mergeCell ref="C564:C566"/>
    <mergeCell ref="D564:D566"/>
    <mergeCell ref="A567:A569"/>
    <mergeCell ref="B567:B569"/>
    <mergeCell ref="C567:C569"/>
    <mergeCell ref="D567:D569"/>
    <mergeCell ref="A570:A572"/>
    <mergeCell ref="B570:B572"/>
    <mergeCell ref="C570:C572"/>
    <mergeCell ref="D570:D572"/>
    <mergeCell ref="A573:A575"/>
    <mergeCell ref="B573:B575"/>
    <mergeCell ref="C573:C575"/>
    <mergeCell ref="D573:D575"/>
    <mergeCell ref="A576:A578"/>
    <mergeCell ref="B576:B578"/>
    <mergeCell ref="C576:C578"/>
    <mergeCell ref="D576:D578"/>
    <mergeCell ref="A579:A581"/>
    <mergeCell ref="B579:B581"/>
    <mergeCell ref="C579:C581"/>
    <mergeCell ref="D579:D581"/>
    <mergeCell ref="A582:A584"/>
    <mergeCell ref="B582:B584"/>
    <mergeCell ref="C582:C584"/>
    <mergeCell ref="D582:D584"/>
    <mergeCell ref="A585:A587"/>
    <mergeCell ref="B585:B587"/>
    <mergeCell ref="C585:C587"/>
    <mergeCell ref="D585:D587"/>
    <mergeCell ref="A588:A590"/>
    <mergeCell ref="B588:B590"/>
    <mergeCell ref="A591:A593"/>
    <mergeCell ref="B591:B593"/>
    <mergeCell ref="C591:C593"/>
    <mergeCell ref="D591:D593"/>
    <mergeCell ref="A594:A596"/>
    <mergeCell ref="B594:B596"/>
    <mergeCell ref="C594:C596"/>
    <mergeCell ref="D594:D596"/>
    <mergeCell ref="A597:A599"/>
    <mergeCell ref="B597:B599"/>
    <mergeCell ref="C597:C599"/>
    <mergeCell ref="D597:D599"/>
    <mergeCell ref="A600:A602"/>
    <mergeCell ref="B600:B602"/>
    <mergeCell ref="C600:C602"/>
    <mergeCell ref="D600:D602"/>
    <mergeCell ref="A603:A605"/>
    <mergeCell ref="B603:B605"/>
    <mergeCell ref="C603:C605"/>
    <mergeCell ref="D603:D605"/>
    <mergeCell ref="A606:A608"/>
    <mergeCell ref="B606:B608"/>
    <mergeCell ref="C606:C608"/>
    <mergeCell ref="D606:D608"/>
    <mergeCell ref="A609:A611"/>
    <mergeCell ref="B609:B611"/>
    <mergeCell ref="C609:C611"/>
    <mergeCell ref="D609:D611"/>
    <mergeCell ref="A612:A614"/>
    <mergeCell ref="B612:B614"/>
    <mergeCell ref="C612:C614"/>
    <mergeCell ref="D612:D614"/>
    <mergeCell ref="A615:A617"/>
    <mergeCell ref="B615:B617"/>
    <mergeCell ref="C615:C617"/>
    <mergeCell ref="D615:D617"/>
    <mergeCell ref="A618:A620"/>
    <mergeCell ref="B618:B620"/>
    <mergeCell ref="C618:C620"/>
    <mergeCell ref="D618:D620"/>
    <mergeCell ref="A621:A623"/>
    <mergeCell ref="B621:B623"/>
    <mergeCell ref="C621:C623"/>
    <mergeCell ref="D621:D623"/>
    <mergeCell ref="A624:A626"/>
    <mergeCell ref="B624:B626"/>
    <mergeCell ref="C624:C626"/>
    <mergeCell ref="D624:D626"/>
    <mergeCell ref="A627:A629"/>
    <mergeCell ref="B627:B629"/>
    <mergeCell ref="C627:C629"/>
    <mergeCell ref="D627:D629"/>
    <mergeCell ref="A630:A632"/>
    <mergeCell ref="B630:B632"/>
    <mergeCell ref="C630:C632"/>
    <mergeCell ref="D630:D632"/>
    <mergeCell ref="A633:A635"/>
    <mergeCell ref="B633:B635"/>
    <mergeCell ref="C633:C635"/>
    <mergeCell ref="D633:D635"/>
    <mergeCell ref="A636:A638"/>
    <mergeCell ref="B636:B638"/>
    <mergeCell ref="C636:C638"/>
    <mergeCell ref="D636:D638"/>
    <mergeCell ref="A639:A641"/>
    <mergeCell ref="B639:B641"/>
    <mergeCell ref="C639:C641"/>
    <mergeCell ref="D639:D641"/>
    <mergeCell ref="A642:A644"/>
    <mergeCell ref="B642:B644"/>
    <mergeCell ref="C642:C644"/>
    <mergeCell ref="D642:D644"/>
    <mergeCell ref="A645:A647"/>
    <mergeCell ref="B645:B647"/>
    <mergeCell ref="C645:C647"/>
    <mergeCell ref="D645:D647"/>
    <mergeCell ref="A648:A650"/>
    <mergeCell ref="B648:B650"/>
    <mergeCell ref="C648:C650"/>
    <mergeCell ref="D648:D650"/>
    <mergeCell ref="A651:A653"/>
    <mergeCell ref="B651:B653"/>
    <mergeCell ref="C651:C653"/>
    <mergeCell ref="D651:D653"/>
    <mergeCell ref="A654:A656"/>
    <mergeCell ref="B654:B656"/>
    <mergeCell ref="C654:C656"/>
    <mergeCell ref="D654:D656"/>
    <mergeCell ref="A657:A659"/>
    <mergeCell ref="B657:B659"/>
    <mergeCell ref="C657:C659"/>
    <mergeCell ref="D657:D659"/>
    <mergeCell ref="A660:A662"/>
    <mergeCell ref="B660:B662"/>
    <mergeCell ref="C660:C662"/>
    <mergeCell ref="D660:D662"/>
    <mergeCell ref="A663:A665"/>
    <mergeCell ref="B663:B665"/>
    <mergeCell ref="C663:C665"/>
    <mergeCell ref="D663:D665"/>
    <mergeCell ref="A666:A668"/>
    <mergeCell ref="B666:B668"/>
    <mergeCell ref="C666:C668"/>
    <mergeCell ref="D666:D668"/>
    <mergeCell ref="A669:A671"/>
    <mergeCell ref="B669:B671"/>
    <mergeCell ref="C669:C671"/>
    <mergeCell ref="D669:D671"/>
    <mergeCell ref="A672:A674"/>
    <mergeCell ref="B672:B674"/>
    <mergeCell ref="C672:C674"/>
    <mergeCell ref="D672:D674"/>
    <mergeCell ref="A675:A677"/>
    <mergeCell ref="B675:B677"/>
    <mergeCell ref="C675:C677"/>
    <mergeCell ref="D675:D677"/>
    <mergeCell ref="A678:A680"/>
    <mergeCell ref="B678:B680"/>
    <mergeCell ref="C678:C680"/>
    <mergeCell ref="D678:D680"/>
    <mergeCell ref="A681:A683"/>
    <mergeCell ref="B681:B683"/>
    <mergeCell ref="C681:C683"/>
    <mergeCell ref="D681:D683"/>
    <mergeCell ref="A684:A686"/>
    <mergeCell ref="B684:B686"/>
    <mergeCell ref="C684:C686"/>
    <mergeCell ref="D684:D686"/>
    <mergeCell ref="A687:A689"/>
    <mergeCell ref="B687:B689"/>
    <mergeCell ref="C687:C689"/>
    <mergeCell ref="D687:D689"/>
    <mergeCell ref="A690:A692"/>
    <mergeCell ref="B690:B692"/>
    <mergeCell ref="A693:A695"/>
    <mergeCell ref="B693:B695"/>
    <mergeCell ref="C693:C695"/>
    <mergeCell ref="D693:D695"/>
    <mergeCell ref="A696:A698"/>
    <mergeCell ref="B696:B698"/>
    <mergeCell ref="C696:C698"/>
    <mergeCell ref="D696:D698"/>
    <mergeCell ref="A699:A701"/>
    <mergeCell ref="B699:B701"/>
    <mergeCell ref="C699:C701"/>
    <mergeCell ref="D699:D701"/>
    <mergeCell ref="A702:A704"/>
    <mergeCell ref="B702:B704"/>
    <mergeCell ref="C702:C704"/>
    <mergeCell ref="D702:D704"/>
    <mergeCell ref="A705:A707"/>
    <mergeCell ref="B705:B707"/>
    <mergeCell ref="C705:C707"/>
    <mergeCell ref="D705:D707"/>
    <mergeCell ref="A708:A710"/>
    <mergeCell ref="B708:B710"/>
    <mergeCell ref="C708:C710"/>
    <mergeCell ref="D708:D710"/>
    <mergeCell ref="A711:A713"/>
    <mergeCell ref="B711:B713"/>
    <mergeCell ref="C711:C713"/>
    <mergeCell ref="D711:D713"/>
    <mergeCell ref="A714:A716"/>
    <mergeCell ref="B714:B716"/>
    <mergeCell ref="C714:C716"/>
    <mergeCell ref="D714:D716"/>
    <mergeCell ref="A717:A719"/>
    <mergeCell ref="B717:B719"/>
    <mergeCell ref="C717:C719"/>
    <mergeCell ref="D717:D719"/>
    <mergeCell ref="A720:A722"/>
    <mergeCell ref="B720:B722"/>
    <mergeCell ref="C720:C722"/>
    <mergeCell ref="D720:D722"/>
    <mergeCell ref="A723:A725"/>
    <mergeCell ref="B723:B725"/>
    <mergeCell ref="C723:C725"/>
    <mergeCell ref="D723:D725"/>
    <mergeCell ref="A726:A728"/>
    <mergeCell ref="B726:B728"/>
    <mergeCell ref="C726:C728"/>
    <mergeCell ref="D726:D728"/>
    <mergeCell ref="A729:A731"/>
    <mergeCell ref="B729:B731"/>
    <mergeCell ref="C729:C731"/>
    <mergeCell ref="D729:D731"/>
    <mergeCell ref="A732:A734"/>
    <mergeCell ref="B732:B734"/>
    <mergeCell ref="C732:C734"/>
    <mergeCell ref="D732:D734"/>
    <mergeCell ref="A735:A737"/>
    <mergeCell ref="B735:B737"/>
    <mergeCell ref="C735:C737"/>
    <mergeCell ref="D735:D737"/>
    <mergeCell ref="A738:A740"/>
    <mergeCell ref="B738:B740"/>
    <mergeCell ref="C738:C740"/>
    <mergeCell ref="D738:D740"/>
    <mergeCell ref="A741:A743"/>
    <mergeCell ref="B741:B743"/>
    <mergeCell ref="C741:C743"/>
    <mergeCell ref="D741:D743"/>
    <mergeCell ref="A744:A746"/>
    <mergeCell ref="B744:B746"/>
    <mergeCell ref="C744:C746"/>
    <mergeCell ref="D744:D746"/>
    <mergeCell ref="A747:A749"/>
    <mergeCell ref="B747:B749"/>
    <mergeCell ref="C747:C749"/>
    <mergeCell ref="D747:D749"/>
    <mergeCell ref="A750:A752"/>
    <mergeCell ref="B750:B752"/>
    <mergeCell ref="C750:C752"/>
    <mergeCell ref="D750:D752"/>
    <mergeCell ref="A753:A755"/>
    <mergeCell ref="B753:B755"/>
    <mergeCell ref="C753:C755"/>
    <mergeCell ref="D753:D755"/>
    <mergeCell ref="A756:A758"/>
    <mergeCell ref="B756:B758"/>
    <mergeCell ref="C756:C758"/>
    <mergeCell ref="D756:D758"/>
    <mergeCell ref="A759:A761"/>
    <mergeCell ref="B759:B761"/>
    <mergeCell ref="C759:C761"/>
    <mergeCell ref="D759:D761"/>
    <mergeCell ref="A762:A764"/>
    <mergeCell ref="B762:B764"/>
    <mergeCell ref="C762:C764"/>
    <mergeCell ref="D762:D764"/>
    <mergeCell ref="A765:A767"/>
    <mergeCell ref="B765:B767"/>
    <mergeCell ref="C765:C767"/>
    <mergeCell ref="D765:D767"/>
    <mergeCell ref="A768:A770"/>
    <mergeCell ref="B768:B770"/>
    <mergeCell ref="C768:C770"/>
    <mergeCell ref="D768:D770"/>
    <mergeCell ref="A771:A773"/>
    <mergeCell ref="B771:B773"/>
    <mergeCell ref="C771:C773"/>
    <mergeCell ref="D771:D773"/>
    <mergeCell ref="A774:A776"/>
    <mergeCell ref="B774:B776"/>
    <mergeCell ref="C774:C776"/>
    <mergeCell ref="D774:D776"/>
    <mergeCell ref="A777:A779"/>
    <mergeCell ref="B777:B779"/>
    <mergeCell ref="C777:C779"/>
    <mergeCell ref="D777:D779"/>
    <mergeCell ref="A780:A782"/>
    <mergeCell ref="B780:B782"/>
    <mergeCell ref="C780:C782"/>
    <mergeCell ref="D780:D782"/>
    <mergeCell ref="A783:A785"/>
    <mergeCell ref="B783:B785"/>
    <mergeCell ref="C783:C785"/>
    <mergeCell ref="D783:D785"/>
    <mergeCell ref="A786:A788"/>
    <mergeCell ref="B786:B788"/>
    <mergeCell ref="C786:C788"/>
    <mergeCell ref="D786:D788"/>
    <mergeCell ref="A789:A791"/>
    <mergeCell ref="B789:B791"/>
    <mergeCell ref="C789:C791"/>
    <mergeCell ref="D789:D791"/>
    <mergeCell ref="A792:A794"/>
    <mergeCell ref="B792:B794"/>
    <mergeCell ref="C792:C794"/>
    <mergeCell ref="D792:D794"/>
    <mergeCell ref="A795:A797"/>
    <mergeCell ref="B795:B797"/>
    <mergeCell ref="C795:C797"/>
    <mergeCell ref="D795:D797"/>
    <mergeCell ref="A798:A800"/>
    <mergeCell ref="B798:B800"/>
    <mergeCell ref="C798:C800"/>
    <mergeCell ref="D798:D800"/>
    <mergeCell ref="A801:A803"/>
    <mergeCell ref="B801:B803"/>
    <mergeCell ref="C801:C803"/>
    <mergeCell ref="D801:D803"/>
    <mergeCell ref="A804:A806"/>
    <mergeCell ref="B804:B806"/>
    <mergeCell ref="C804:C806"/>
    <mergeCell ref="D804:D806"/>
    <mergeCell ref="A807:A809"/>
    <mergeCell ref="B807:B809"/>
    <mergeCell ref="C807:C809"/>
    <mergeCell ref="D807:D809"/>
    <mergeCell ref="A810:A812"/>
    <mergeCell ref="B810:B812"/>
    <mergeCell ref="C810:C812"/>
    <mergeCell ref="D810:D812"/>
    <mergeCell ref="A813:A815"/>
    <mergeCell ref="B813:B815"/>
    <mergeCell ref="C813:C815"/>
    <mergeCell ref="D813:D815"/>
    <mergeCell ref="A816:A818"/>
    <mergeCell ref="B816:B818"/>
    <mergeCell ref="C816:C818"/>
    <mergeCell ref="D816:D818"/>
    <mergeCell ref="A819:A821"/>
    <mergeCell ref="B819:B821"/>
    <mergeCell ref="C819:C821"/>
    <mergeCell ref="D819:D821"/>
    <mergeCell ref="A822:A824"/>
    <mergeCell ref="B822:B824"/>
    <mergeCell ref="C822:C824"/>
    <mergeCell ref="D822:D824"/>
    <mergeCell ref="A825:A827"/>
    <mergeCell ref="B825:B827"/>
    <mergeCell ref="C825:C827"/>
    <mergeCell ref="D825:D827"/>
    <mergeCell ref="A828:A830"/>
    <mergeCell ref="B828:B830"/>
    <mergeCell ref="C828:C830"/>
    <mergeCell ref="D828:D830"/>
    <mergeCell ref="A831:A833"/>
    <mergeCell ref="B831:B833"/>
    <mergeCell ref="C831:C833"/>
    <mergeCell ref="D831:D833"/>
    <mergeCell ref="A834:A836"/>
    <mergeCell ref="B834:B836"/>
    <mergeCell ref="C834:C836"/>
    <mergeCell ref="D834:D836"/>
    <mergeCell ref="A837:A839"/>
    <mergeCell ref="B837:B839"/>
    <mergeCell ref="C837:C839"/>
    <mergeCell ref="D837:D839"/>
    <mergeCell ref="A840:A842"/>
    <mergeCell ref="B840:B842"/>
    <mergeCell ref="C840:C842"/>
    <mergeCell ref="D840:D842"/>
    <mergeCell ref="A843:A845"/>
    <mergeCell ref="B843:B845"/>
    <mergeCell ref="C843:C845"/>
    <mergeCell ref="D843:D845"/>
    <mergeCell ref="A848:A853"/>
    <mergeCell ref="C848:C853"/>
    <mergeCell ref="D848:D853"/>
    <mergeCell ref="E848:E853"/>
    <mergeCell ref="F848:F853"/>
    <mergeCell ref="C854:C856"/>
    <mergeCell ref="D854:D856"/>
    <mergeCell ref="E854:E856"/>
    <mergeCell ref="F854:F856"/>
    <mergeCell ref="A854:A856"/>
    <mergeCell ref="A857:A859"/>
    <mergeCell ref="B857:B859"/>
    <mergeCell ref="C857:C859"/>
    <mergeCell ref="D857:D859"/>
    <mergeCell ref="A860:A862"/>
    <mergeCell ref="B860:B862"/>
    <mergeCell ref="C860:C862"/>
    <mergeCell ref="D860:D862"/>
    <mergeCell ref="A863:A865"/>
    <mergeCell ref="B863:B865"/>
    <mergeCell ref="C863:C865"/>
    <mergeCell ref="D863:D865"/>
    <mergeCell ref="A866:A868"/>
    <mergeCell ref="B866:B868"/>
    <mergeCell ref="C866:C868"/>
    <mergeCell ref="D866:D868"/>
    <mergeCell ref="A869:A871"/>
    <mergeCell ref="B869:B871"/>
    <mergeCell ref="C869:C871"/>
    <mergeCell ref="D869:D871"/>
    <mergeCell ref="A872:A874"/>
    <mergeCell ref="B872:B874"/>
    <mergeCell ref="C872:C874"/>
    <mergeCell ref="A875:A877"/>
    <mergeCell ref="B875:B877"/>
    <mergeCell ref="C875:C877"/>
    <mergeCell ref="D875:D877"/>
    <mergeCell ref="A6:F6"/>
    <mergeCell ref="A64:A66"/>
    <mergeCell ref="A67:A71"/>
    <mergeCell ref="A72:A76"/>
    <mergeCell ref="A77:A80"/>
    <mergeCell ref="A81:A84"/>
    <mergeCell ref="A85:A88"/>
    <mergeCell ref="A89:A92"/>
    <mergeCell ref="A93:A96"/>
    <mergeCell ref="C104:C107"/>
    <mergeCell ref="D104:D107"/>
    <mergeCell ref="A105:A108"/>
    <mergeCell ref="A109:A112"/>
    <mergeCell ref="A113:A117"/>
    <mergeCell ref="A118:A121"/>
    <mergeCell ref="C122:C124"/>
    <mergeCell ref="D122:D124"/>
    <mergeCell ref="E122:E124"/>
    <mergeCell ref="E125:E127"/>
    <mergeCell ref="F164:F170"/>
    <mergeCell ref="B151:B153"/>
    <mergeCell ref="C151:C153"/>
    <mergeCell ref="D151:D153"/>
    <mergeCell ref="A158:A160"/>
    <mergeCell ref="B158:B160"/>
    <mergeCell ref="A204:A207"/>
    <mergeCell ref="B204:B207"/>
    <mergeCell ref="C204:C207"/>
    <mergeCell ref="D204:D207"/>
    <mergeCell ref="A125:A127"/>
    <mergeCell ref="C125:C127"/>
    <mergeCell ref="D125:D127"/>
    <mergeCell ref="A197:A199"/>
    <mergeCell ref="B197:B199"/>
    <mergeCell ref="C197:C199"/>
    <mergeCell ref="D200:D203"/>
    <mergeCell ref="A133:F133"/>
    <mergeCell ref="A163:F163"/>
    <mergeCell ref="A164:A170"/>
    <mergeCell ref="C164:C170"/>
    <mergeCell ref="D164:D170"/>
    <mergeCell ref="E164:E170"/>
    <mergeCell ref="C158:C160"/>
    <mergeCell ref="D158:D160"/>
    <mergeCell ref="D197:D199"/>
    <mergeCell ref="B854:B856"/>
    <mergeCell ref="C208:C211"/>
    <mergeCell ref="D208:D211"/>
    <mergeCell ref="F173:F175"/>
    <mergeCell ref="A171:F171"/>
    <mergeCell ref="A212:F212"/>
    <mergeCell ref="E173:E175"/>
    <mergeCell ref="A200:A203"/>
    <mergeCell ref="B200:B203"/>
    <mergeCell ref="C200:C203"/>
  </mergeCells>
  <printOptions/>
  <pageMargins left="0.4330708661417323" right="0.31496062992125984" top="0.2755905511811024" bottom="0.1968503937007874" header="0.31496062992125984" footer="0.1968503937007874"/>
  <pageSetup fitToHeight="15" horizontalDpi="600" verticalDpi="600" orientation="portrait" paperSize="9" scale="95" r:id="rId1"/>
  <rowBreaks count="7" manualBreakCount="7">
    <brk id="414" max="9" man="1"/>
    <brk id="477" max="9" man="1"/>
    <brk id="503" max="9" man="1"/>
    <brk id="680" max="9" man="1"/>
    <brk id="740" max="9" man="1"/>
    <brk id="794" max="9" man="1"/>
    <brk id="86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tkapustina</dc:creator>
  <cp:keywords/>
  <dc:description/>
  <cp:lastModifiedBy>om1-2</cp:lastModifiedBy>
  <cp:lastPrinted>2017-06-08T05:16:09Z</cp:lastPrinted>
  <dcterms:created xsi:type="dcterms:W3CDTF">2011-07-20T08:55:53Z</dcterms:created>
  <dcterms:modified xsi:type="dcterms:W3CDTF">2017-06-09T08:24:54Z</dcterms:modified>
  <cp:category/>
  <cp:version/>
  <cp:contentType/>
  <cp:contentStatus/>
</cp:coreProperties>
</file>